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l-Interno\Desktop\ARCHIVOS DE ESCRITORIO\COMPUTADOR NUEVO\2022\Informe Semestral de Control Interno\"/>
    </mc:Choice>
  </mc:AlternateContent>
  <bookViews>
    <workbookView xWindow="0" yWindow="0" windowWidth="28800" windowHeight="12330" activeTab="1"/>
  </bookViews>
  <sheets>
    <sheet name="Instructivo" sheetId="2"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<sst xmlns="http://schemas.openxmlformats.org/spreadsheetml/2006/main" count="513" uniqueCount="244">
  <si>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</si>
  <si>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</si>
  <si>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</si>
  <si>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</si>
  <si>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</si>
  <si>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</si>
  <si>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</si>
  <si>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</si>
  <si>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</si>
  <si>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</si>
  <si>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</si>
  <si>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</si>
  <si>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</si>
  <si>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</si>
  <si>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</si>
  <si>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</si>
  <si>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</si>
  <si>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</si>
  <si>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</si>
  <si>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</si>
  <si>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</si>
  <si>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</si>
  <si>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</si>
  <si>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</si>
  <si>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</si>
  <si>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</si>
  <si>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</si>
  <si>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</si>
  <si>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</si>
  <si>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</si>
  <si>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</si>
  <si>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</si>
  <si>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</si>
  <si>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</si>
  <si>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</si>
  <si>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</si>
  <si>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</si>
  <si>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</si>
  <si>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</si>
  <si>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</si>
  <si>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</si>
  <si>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</si>
  <si>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</si>
  <si>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</si>
  <si>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</si>
  <si>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</si>
  <si>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</si>
  <si>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</si>
  <si>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</si>
  <si>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</si>
  <si>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</si>
  <si>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</si>
  <si>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</si>
  <si>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</si>
  <si>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</si>
  <si>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</si>
  <si>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</si>
  <si>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</si>
  <si>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</si>
  <si>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</si>
  <si>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</si>
  <si>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</si>
  <si>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</si>
  <si>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</si>
  <si>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</si>
  <si>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</si>
  <si>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</si>
  <si>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</si>
  <si>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</si>
  <si>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</si>
  <si>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</si>
  <si>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</si>
  <si>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</si>
  <si>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</si>
  <si>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</si>
  <si>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</si>
  <si>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</si>
  <si>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</si>
  <si>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</si>
  <si>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</si>
  <si>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</si>
  <si>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</si>
  <si>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</si>
  <si>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</si>
  <si>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</si>
  <si>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</si>
  <si>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</si>
  <si>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</si>
  <si>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</si>
  <si>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</si>
  <si>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</si>
  <si>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</si>
  <si>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</si>
  <si>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</si>
  <si>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</si>
  <si>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</si>
  <si>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</si>
  <si>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</si>
  <si>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</si>
  <si>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</si>
  <si>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</si>
  <si>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</si>
  <si>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</si>
  <si>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</si>
  <si>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</si>
  <si>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</si>
  <si>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</si>
  <si>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</si>
  <si>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</si>
  <si>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</si>
  <si>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</si>
  <si>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</si>
  <si>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</si>
  <si>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</si>
  <si>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</si>
  <si>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</si>
  <si>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</si>
  <si>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</si>
  <si>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</si>
  <si>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</si>
  <si>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</si>
  <si>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</si>
  <si>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</si>
  <si>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</si>
  <si>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</si>
  <si>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</si>
  <si>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</si>
  <si>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</si>
  <si>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</si>
  <si>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</si>
  <si>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</si>
  <si>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</si>
  <si>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</si>
  <si>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</si>
  <si>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</si>
  <si>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</si>
  <si>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</si>
  <si>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</si>
  <si>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</si>
  <si>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</si>
  <si>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</si>
  <si>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</si>
  <si>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</si>
  <si>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</si>
  <si>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</si>
  <si>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</si>
  <si>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</si>
  <si>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</si>
  <si>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</si>
  <si>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</si>
  <si>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</si>
  <si>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</si>
  <si>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</si>
  <si>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</si>
  <si>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</si>
  <si>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</si>
  <si>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</si>
  <si>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</si>
  <si>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</si>
  <si>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</si>
  <si>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</si>
  <si>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</si>
  <si>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</si>
  <si>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</si>
  <si>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</si>
  <si>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</si>
  <si>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</si>
  <si>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</si>
  <si>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</si>
  <si>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</si>
  <si>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</si>
  <si>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</si>
  <si>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</si>
  <si>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</si>
  <si>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</si>
  <si>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</si>
  <si>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</si>
  <si>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</si>
  <si>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</si>
  <si>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</si>
  <si>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</si>
  <si>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</si>
  <si>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</si>
  <si>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</si>
  <si>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</si>
  <si>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</si>
  <si>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</si>
  <si>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</si>
  <si>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</si>
  <si>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</si>
  <si>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</si>
  <si>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PROCESOS DE AUTOEVALUACIÓN</t>
  </si>
  <si>
    <t>IDENTIFICACIÓN DE RIESGOS</t>
  </si>
  <si>
    <t>MAPA DE RIESGOS DE CORRUPCIÓN</t>
  </si>
  <si>
    <t xml:space="preserve">Se evidencia un ambiente de control efectivo que fomenta en la entidad los principios, valores y conductas asociadas al Ambiente de Control, con un MECI actualizado que permite evaluar la estrategia, la gestión y los propios mecanismos de evaluación del proceso administrativo de la Entidad
Contamos con un código de conducta se determinan los valores y principios de integridad que se deben aplicar en el ejercicio de la función pública, los cuales fueron adoptados por la Entidad y divulgados entre los funcionarios.
La efectividad del control interno, en este componente en la Administración Municipal se evidencia en el Talento Humano, en los procesos procedimientos adoptados por los funcionarios para el ejercicio de sus funciones y en las políticas y prácticas que lleva a los funcionarios a tener proceso de inducción, formación, a través de las capacitaciones programadas en el Plan Institucional de Capacitaciones, remuneración y evaluación de desempeño.
Se evidencia, además, una estructura organizacional liderada por el señor Alcalde y su equipo de gobierno, determinando de esta manera los niveles de responsabilidad y asignación de funciones, la cual se encuentra armonizada con el tamaño y naturaleza de las actividades que se desarrollan en la Entidad y que soporta el alcance del Sistema de Control Interno.
Los objetivos de la entidad están alineados con la misión, visión y objetivos estratégicos, para el cumplimiento de los propósitos y metas expuestos en el Plan de Desarrollo, como carta de navegación, que permite que los recursos sean utilizados de manera eficiente y eficaz en todas las operaciones que realiza la Entidad. 
</t>
  </si>
  <si>
    <t xml:space="preserve">En este componente presenta debilidad en la identificación de los mecanismos que permitan darle un adecuado tratamiento a los riesgos asociados a las tecnologías de la información y las comunicaciones, en ocasiones estos se comunican, pero no se tomas las acciones inmediatas a fin de disminuir las amenazas en el desempeño de las actividades de gestión como oportunidad de mejora en los procesos.
Se resalta en este componente aspectos positivos el liderazgo de cada líder de proceso en la oportuna identificación de las amenazas y posibles actos de corrupción que impidan el cumplimiento de los objetivos institucionales que afecten la gestión, con la realización efectiva de un seguimiento a los riesgos que puedan conllevar al no cumplimiento de los objetivos propuestos por la entidad en su Plan de Desarrollo y las acciones de mejora se toman sin necesidad que un organismo de control actué o defina la conducta  a seguir.  
</t>
  </si>
  <si>
    <t xml:space="preserve">La entidad cuenta con los mapas de riesgos institucional y de corrupción, documento publicado en la página Web institucional, en el cual se consolidaron los principales riesgos o amenazas a los cuales están expuestos los procesos de la entidad, que podrían interferir en el cumplimiento de las políticas, procedimientos, objetivos y metas propuestas, el cual cuenta con los controles para evitar su materialización. 
De igual manera se construyó y publicó el Plan anticorrupción y de Atención al ciudadano, que cuenta con las estrategias o mecanismos para garantizar la participación ciudadana en el quehacer institucional y se encuentra publicado en la página Web.
</t>
  </si>
  <si>
    <t xml:space="preserve">Los sistemas de información y comunicación son la base para identificar, capturar e intercambiar información en una forma y período de tiempo que permita al personal cumplir con sus responsabilidades y a los usuarios externos contar oportunamente con elementos de juicio suficientes para la adopción de las decisiones de la entidad.
La alcaldía de Quibdó cuenta con una dependencia encargada de llevar a cabo estas actividades, que sirven de canal de comunicación e información permanente con la comunidad, utilizando medios de información como la página web, Facebook, twitter, Instagram y todos los canales de información y comunicación, a través de los cuales la comunidad se mantiene actualizada del quehacer institucional, en lo que tiene que ver con el avance de la labor encomendada desde cada una de las metas propuestas en el Plan de Desarrollo.  
</t>
  </si>
  <si>
    <t xml:space="preserve">En cumplimiento de las funciones establecidas a la oficina de Control interno, se realiza seguimiento para la verificación del cumplimiento de las acciones de mejora establecidas en los planes suscritos con los entes de control, encargados de auditar los recursos asignados a la entidad. De igual manera, se realizan los procesos de auditorías internas basada en los riesgos previamente identificadas y se toman los correctivos evidenciados en los hallazgos, realizados a través de los planes de mejora, desde cada proceso auditado.
 Cada líder de proceso, desarrolla y ejecuta mecanismos para realizar el monitoreo a sus actividades, como mecanismos de autocontrol, y se toman las medidas correctivas, en caso de detectar desviaciones.
</t>
  </si>
  <si>
    <t xml:space="preserve">
Se evidencia un Sistema de Control Interno dinámico, ajustando a las situaciones del entorno y articulado con el Modelo Integrado de Planeación y Gestión, donde se valora la calidad y el desempeño del sistema y se realicen las acciones de mejoramiento necesarias, como actividad de supervisión y administración continua. 
Los componentes del Sistema de Control Interno se encuentran funcionando y operando de manera integrada, como se observa en los resultados de la evaluación y en el análisis realizado en cada uno de los componentes del sistema de Control Interno. 
Se evidencia debilidad en la Administración de riesgo, básicamente en el tratamiento asociado a los riesgos de la información y comunicación, básicamente porque no se han construidos controles eficaces que permitan minimizar estos riesgos. 
</t>
  </si>
  <si>
    <t xml:space="preserve">La Institucionalidad se ve reflejada en las Líneas de Defensa establecidas con las que cuenta la Entidad: En la Línea estratégica está la Alta Dirección y el Comité Institucional de Coordinación de Control Interno, encargados de analizar los riesgos y las amenazas que impidan el cumplimiento de los objetivos institucionales, así como los mecanismos para gestionar los riesgos.
En la primera Línea de Defensa, encontramos a los líderes de los Procesos y sus equipos, encargados de aplicar los controles internos a los procesos, además de evaluar, controlar y mitigar los posibles riesgos identificados en el desarrollo de los procesos. 
En la Segunda Línea al Secretario de Planeación, coordinadores de Equipos de Trabajos (interventores de los proyectos de la entidad, comité de riesgos, comité de Contratación, área Financiera, TIC de la entidad, encargados de asegurar que los controles y procesos de gestión de riesgos establecidos en la primer alinea sean apropiados y funcionen correctamente, a través de la supervisión de los controles aplicados a los riesgos para determinar su eficacia
Y en la tercera Línea encontramos a la Oficina de Control Interno, quien se encarga a través del proceso de auditoría interna de conceptuar sobre la eficacia  de la gestión y la manera en que están funcionado la primera y segunda línea de defensa.
</t>
  </si>
  <si>
    <t>De acuerdo a los objetivos evaluados, se evidencia la efectividad en cada uno de los componentes analizados, en el Entorno de control se cumple con el compromiso de Integridad, la labor de control interno se desarrolla de manera independiente, se identifican y evalúan los riesgos, así como los cambios que impactan el sistema de control interno, se desarrollan actividades que contribuyen a la mitigación de los riesgos, las actividades de control se encuentran implementadas en los procesos, se genera, publica y comunica información de interés para la comunidad, la cual se da a conocer a través de los medios y canales de información y comunicación y se realiza supervisión continua a los procesos.</t>
  </si>
  <si>
    <t>ALCALDIA DE QUIBDÓ</t>
  </si>
  <si>
    <t>Plan de Desarrollo 2020-2023</t>
  </si>
  <si>
    <t>Organigrama Institucional</t>
  </si>
  <si>
    <t>Manual de Funciones</t>
  </si>
  <si>
    <t>En proceso de construcción</t>
  </si>
  <si>
    <t xml:space="preserve">Se describen en el mapa de riesgos </t>
  </si>
  <si>
    <t xml:space="preserve">A traves de la Evaluación al mapa de Riesgos </t>
  </si>
  <si>
    <t>Se realiza la evaluación a os riesgos directamente con los lideres de los procesos</t>
  </si>
  <si>
    <t>Identificadas las deficiencias se hace el analisis para aplicar los  controles</t>
  </si>
  <si>
    <t>Se realiza en cada una de las dependencias</t>
  </si>
  <si>
    <t>Una vez discutidos y analizados se toman las acciones</t>
  </si>
  <si>
    <t>Los ogranismos de control, no intervienen en este proceso.</t>
  </si>
  <si>
    <t>Si y sobre una vez identificados se toman acciones para su mitigación</t>
  </si>
  <si>
    <t>Cada líder de proceso identifica las amenazas y toma medidas para subsanarlas.</t>
  </si>
  <si>
    <t>Se construyen acciones para subsanar la materialización de los riesgos.</t>
  </si>
  <si>
    <t>Se consolidan en el mapa de riesgos Institucional y en el Mapa de Riesgos de Corrupción.</t>
  </si>
  <si>
    <t>En la pagina Web de la Entidad</t>
  </si>
  <si>
    <t>Se realiza a traves de la oficina de comunicaciones de la Entidad</t>
  </si>
  <si>
    <t>Pagina Web, plataformas facebook, whatsapp, twiter, instagram.</t>
  </si>
  <si>
    <t>A traves de Informes y reportes en las plataformas establecidas</t>
  </si>
  <si>
    <t>Se realiza de conformidad con los lineamientos establecidos para esta clase de información.</t>
  </si>
  <si>
    <t xml:space="preserve">Se realizan los informes de gestión de cada dependencia, se publican en la pagina web de la entidad y se dan aconocer a traves de la audiencia publica de rendición de cuentas, donde ademas se invitan a todas las entidades y organismos de control. </t>
  </si>
  <si>
    <t>Se encuentra identificada y publicada en la pagina web institucional</t>
  </si>
  <si>
    <t>A traves de la oficina de control interno</t>
  </si>
  <si>
    <t>Se realiza a traves de la evaluación a las metas establecidas en los planes de acción</t>
  </si>
  <si>
    <t>Los ejercicios de auditoria interna, permiten detectar las deficiencias y construir los planes de mejora</t>
  </si>
  <si>
    <t>Este seguimiento se realiza a traves de los informes a los planes de mejoramiento</t>
  </si>
  <si>
    <t>No se ha establecido</t>
  </si>
  <si>
    <t>A traves del seguimiento que se realiza al comportamiento de los riesgos</t>
  </si>
  <si>
    <t>A traves de la identificación de los controles</t>
  </si>
  <si>
    <t>Verificando la aplicación de los controles</t>
  </si>
  <si>
    <t>Aplicando las acciones establecidas en los controles</t>
  </si>
  <si>
    <t>Se gestionan y aplican los controles para que no afecten los procesos</t>
  </si>
  <si>
    <t>Generalmente se palican las normas establecidas para realizar los procesos de desvinculación de servidores</t>
  </si>
  <si>
    <t>Del 1 de enero al 30 de junio de 2022</t>
  </si>
  <si>
    <t>Resolucion 0554 de 2017</t>
  </si>
  <si>
    <t>Código de Integridad</t>
  </si>
  <si>
    <t>De acuerdo a los resultados del Concurso de Meritos, realizado por la Comisión Nacional del Serviico civil, la entidad ha venido vinculando a los funcionarios que ganaron el concurso de meritos.</t>
  </si>
  <si>
    <t>A traves del formato de Inducción se cumple con este proposito, ademas se realizó una jornada de inducción a todos los ervidores publicos nuevos que ingresaron a la entidad mediante el concurso de meritos. Se verifica el cumplimiento de las actividades dispuestas enel PIC y en elPrograma de Bienestar social.</t>
  </si>
  <si>
    <t>Se han realizado capacitaciones desde la CNSC, tendientes a la orientacion d eos mecanismos para llevar a cabo la calificación de los servidores publics de la entidad y los que se encuentran en periodo de prueba.</t>
  </si>
  <si>
    <t>Se estan realizando los actos preparativos para realizar la Audiencia de Rendiciónde Cuentas.</t>
  </si>
  <si>
    <t>Los infomres se rinden con oportunidad a las autoridades competentes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</si>
</sst>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5"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8"/>
      <name val="Calibri"/>
      <family val="2"/>
      <scheme val="minor"/>
    </font>
    <font>
      <b/>
      <sz val="18"/>
      <color theme="1"/>
      <name val="Calibri"/>
      <family val="2"/>
      <scheme val="minor"/>
    </font>
    <font>
      <b/>
      <sz val="20"/>
      <name val="Arial"/>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
      <sz val="12"/>
      <color theme="0"/>
      <name val="Verdana"/>
      <family val="2"/>
    </font>
    <font>
      <sz val="12"/>
      <name val="Verdana"/>
      <family val="2"/>
    </font>
    <font>
      <sz val="12"/>
      <color theme="1"/>
      <name val="Verdana"/>
      <family val="2"/>
    </font>
    <font>
      <b/>
      <sz val="12"/>
      <color theme="0"/>
      <name val="Verdana"/>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1">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9" fillId="13" borderId="3" xfId="0" applyFont="1" applyFill="1" applyBorder="1" applyAlignment="1">
      <alignment horizontal="center" vertical="center" wrapText="1"/>
    </xf>
    <xf numFmtId="0" fontId="43"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44" fillId="2" borderId="3" xfId="0" applyFont="1" applyFill="1" applyBorder="1" applyAlignment="1">
      <alignment horizontal="center" vertical="center"/>
    </xf>
    <xf numFmtId="0" fontId="40" fillId="0" borderId="3" xfId="0" applyFont="1" applyFill="1" applyBorder="1" applyAlignment="1">
      <alignment horizontal="center" vertical="center"/>
    </xf>
    <xf numFmtId="0" fontId="46" fillId="0" borderId="0" xfId="0" applyFont="1" applyBorder="1" applyAlignment="1">
      <alignment horizontal="center"/>
    </xf>
    <xf numFmtId="0" fontId="45" fillId="12" borderId="31"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8" fillId="0" borderId="0" xfId="0" applyNumberFormat="1" applyFont="1" applyAlignment="1" applyProtection="1">
      <alignment horizontal="center" vertical="top"/>
      <protection hidden="1"/>
    </xf>
    <xf numFmtId="49" fontId="8" fillId="0" borderId="0" xfId="0" applyNumberFormat="1" applyFont="1" applyAlignment="1" applyProtection="1">
      <alignment horizontal="center" vertical="top"/>
      <protection hidden="1"/>
    </xf>
    <xf numFmtId="0" fontId="8" fillId="0" borderId="0" xfId="0" applyNumberFormat="1" applyFont="1" applyAlignment="1" applyProtection="1">
      <alignment vertical="top"/>
      <protection hidden="1"/>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38"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38"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38"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38"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38" fillId="0" borderId="6" xfId="0" applyFont="1" applyFill="1" applyBorder="1" applyAlignment="1" applyProtection="1">
      <alignment vertical="center" wrapText="1"/>
      <protection hidden="1"/>
    </xf>
    <xf numFmtId="0" fontId="38" fillId="0" borderId="3" xfId="0" applyFont="1" applyFill="1" applyBorder="1" applyAlignment="1" applyProtection="1">
      <alignment vertical="center" wrapText="1"/>
      <protection hidden="1"/>
    </xf>
    <xf numFmtId="0" fontId="38" fillId="0" borderId="7" xfId="0" applyFont="1" applyFill="1" applyBorder="1" applyAlignment="1" applyProtection="1">
      <alignment vertical="center" wrapText="1"/>
      <protection hidden="1"/>
    </xf>
    <xf numFmtId="0" fontId="41"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0" fillId="2" borderId="26" xfId="0" applyNumberFormat="1" applyFont="1" applyFill="1" applyBorder="1" applyAlignment="1" applyProtection="1">
      <alignment horizontal="center" vertical="center"/>
      <protection hidden="1"/>
    </xf>
    <xf numFmtId="0" fontId="40"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48" fillId="4" borderId="2" xfId="0" applyNumberFormat="1" applyFont="1" applyFill="1" applyBorder="1" applyAlignment="1" applyProtection="1">
      <alignment horizontal="center" vertical="center" wrapText="1"/>
      <protection locked="0"/>
    </xf>
    <xf numFmtId="49" fontId="48" fillId="4" borderId="3" xfId="0" applyNumberFormat="1" applyFont="1" applyFill="1" applyBorder="1" applyAlignment="1" applyProtection="1">
      <alignment horizontal="center" vertical="center" wrapText="1"/>
      <protection locked="0"/>
    </xf>
    <xf numFmtId="49" fontId="48"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8" fillId="0" borderId="0" xfId="0" applyNumberFormat="1" applyFont="1" applyAlignment="1" applyProtection="1">
      <alignment horizontal="center" vertical="top" wrapText="1"/>
      <protection hidden="1"/>
    </xf>
    <xf numFmtId="0" fontId="8" fillId="0" borderId="0" xfId="0" applyNumberFormat="1" applyFont="1" applyAlignment="1" applyProtection="1">
      <alignment horizontal="center" vertical="top" wrapText="1"/>
      <protection hidden="1"/>
    </xf>
    <xf numFmtId="0" fontId="52" fillId="0" borderId="2" xfId="0" applyFont="1" applyBorder="1" applyAlignment="1">
      <alignment horizontal="center" vertical="center" wrapText="1"/>
    </xf>
    <xf numFmtId="0" fontId="52" fillId="0" borderId="2" xfId="0" applyFont="1" applyBorder="1" applyAlignment="1">
      <alignment horizontal="left" vertical="center" wrapText="1"/>
    </xf>
    <xf numFmtId="0" fontId="52" fillId="0" borderId="3" xfId="0" applyFont="1" applyBorder="1" applyAlignment="1">
      <alignment horizontal="center" vertical="center" wrapText="1"/>
    </xf>
    <xf numFmtId="0" fontId="53" fillId="0" borderId="3" xfId="0" applyFont="1" applyFill="1" applyBorder="1" applyAlignment="1">
      <alignment horizontal="left" vertical="center" wrapText="1"/>
    </xf>
    <xf numFmtId="0" fontId="52" fillId="0" borderId="3" xfId="0" applyFont="1" applyBorder="1" applyAlignment="1">
      <alignment horizontal="left" vertical="center" wrapText="1"/>
    </xf>
    <xf numFmtId="0" fontId="52" fillId="0" borderId="4" xfId="0" applyFont="1" applyBorder="1" applyAlignment="1">
      <alignment horizontal="center" vertical="center" wrapText="1"/>
    </xf>
    <xf numFmtId="0" fontId="52" fillId="0" borderId="4" xfId="0" applyFont="1" applyBorder="1" applyAlignment="1">
      <alignment horizontal="left" vertical="center" wrapText="1"/>
    </xf>
    <xf numFmtId="0" fontId="52" fillId="0" borderId="3" xfId="0" applyFont="1" applyFill="1" applyBorder="1" applyAlignment="1">
      <alignment horizontal="center" vertical="center" wrapText="1"/>
    </xf>
    <xf numFmtId="0" fontId="52" fillId="0" borderId="2" xfId="0" applyFont="1" applyFill="1" applyBorder="1" applyAlignment="1">
      <alignment horizontal="left" vertical="center" wrapText="1"/>
    </xf>
    <xf numFmtId="49" fontId="51" fillId="9" borderId="14" xfId="0" applyNumberFormat="1" applyFont="1" applyFill="1" applyBorder="1" applyAlignment="1">
      <alignment horizontal="center" vertical="center" wrapText="1"/>
    </xf>
    <xf numFmtId="49" fontId="51" fillId="9" borderId="11" xfId="0" applyNumberFormat="1" applyFont="1" applyFill="1" applyBorder="1" applyAlignment="1">
      <alignment horizontal="center" vertical="center" wrapText="1"/>
    </xf>
    <xf numFmtId="0" fontId="51" fillId="9" borderId="11" xfId="0" applyFont="1" applyFill="1" applyBorder="1" applyAlignment="1">
      <alignment horizontal="center" vertical="top" wrapText="1"/>
    </xf>
    <xf numFmtId="49" fontId="54" fillId="5" borderId="7" xfId="0" applyNumberFormat="1" applyFont="1" applyFill="1" applyBorder="1" applyAlignment="1">
      <alignment horizontal="center" vertical="center" wrapText="1"/>
    </xf>
    <xf numFmtId="0" fontId="54" fillId="5" borderId="7" xfId="0" applyFont="1" applyFill="1" applyBorder="1" applyAlignment="1">
      <alignment horizontal="center" vertical="center" wrapText="1"/>
    </xf>
    <xf numFmtId="0" fontId="54" fillId="5" borderId="10" xfId="0" applyFont="1" applyFill="1" applyBorder="1" applyAlignment="1">
      <alignment horizontal="center" vertical="center" wrapText="1"/>
    </xf>
    <xf numFmtId="0" fontId="54" fillId="5" borderId="5" xfId="0" applyFont="1" applyFill="1" applyBorder="1" applyAlignment="1">
      <alignment horizontal="center" vertical="center" wrapText="1"/>
    </xf>
    <xf numFmtId="0" fontId="52" fillId="0" borderId="2" xfId="0" applyFont="1" applyBorder="1" applyAlignment="1" applyProtection="1">
      <alignment horizontal="center" vertical="center" wrapText="1"/>
      <protection locked="0"/>
    </xf>
    <xf numFmtId="0" fontId="52" fillId="0" borderId="79" xfId="0" applyFont="1" applyBorder="1" applyAlignment="1" applyProtection="1">
      <alignment horizontal="left" vertical="center" wrapText="1"/>
      <protection locked="0"/>
    </xf>
    <xf numFmtId="0" fontId="52" fillId="0" borderId="79" xfId="0" applyFont="1" applyBorder="1" applyAlignment="1" applyProtection="1">
      <alignment horizontal="center" vertical="center" wrapText="1"/>
      <protection hidden="1"/>
    </xf>
    <xf numFmtId="0" fontId="52" fillId="0" borderId="3" xfId="0" applyFont="1" applyFill="1" applyBorder="1" applyAlignment="1" applyProtection="1">
      <alignment horizontal="center" vertical="center" wrapText="1"/>
      <protection locked="0"/>
    </xf>
    <xf numFmtId="0" fontId="53" fillId="0" borderId="9" xfId="0" applyFont="1" applyFill="1" applyBorder="1" applyAlignment="1" applyProtection="1">
      <alignment horizontal="left" vertical="center" wrapText="1"/>
      <protection locked="0"/>
    </xf>
    <xf numFmtId="0" fontId="53" fillId="0" borderId="9" xfId="0" applyFont="1" applyFill="1" applyBorder="1" applyAlignment="1" applyProtection="1">
      <alignment horizontal="center" vertical="center" wrapText="1"/>
      <protection hidden="1"/>
    </xf>
    <xf numFmtId="0" fontId="52" fillId="0" borderId="3" xfId="0" applyFont="1" applyBorder="1" applyAlignment="1" applyProtection="1">
      <alignment horizontal="center" vertical="center" wrapText="1"/>
      <protection locked="0"/>
    </xf>
    <xf numFmtId="0" fontId="52" fillId="0" borderId="9" xfId="0" applyFont="1" applyBorder="1" applyAlignment="1" applyProtection="1">
      <alignment horizontal="left" vertical="center" wrapText="1"/>
      <protection locked="0"/>
    </xf>
    <xf numFmtId="0" fontId="52" fillId="0" borderId="9" xfId="0" applyFont="1" applyBorder="1" applyAlignment="1" applyProtection="1">
      <alignment horizontal="center" vertical="center" wrapText="1"/>
      <protection hidden="1"/>
    </xf>
    <xf numFmtId="0" fontId="52" fillId="0" borderId="4" xfId="0" applyFont="1" applyBorder="1" applyAlignment="1" applyProtection="1">
      <alignment horizontal="center" vertical="center" wrapText="1"/>
      <protection locked="0"/>
    </xf>
    <xf numFmtId="0" fontId="52" fillId="0" borderId="80" xfId="0" applyFont="1" applyBorder="1" applyAlignment="1" applyProtection="1">
      <alignment horizontal="left" vertical="center" wrapText="1"/>
      <protection locked="0"/>
    </xf>
    <xf numFmtId="0" fontId="52" fillId="0" borderId="80" xfId="0" applyFont="1" applyBorder="1" applyAlignment="1" applyProtection="1">
      <alignment horizontal="center" vertical="center" wrapText="1"/>
      <protection hidden="1"/>
    </xf>
    <xf numFmtId="0" fontId="52" fillId="0" borderId="2" xfId="0" applyFont="1" applyFill="1" applyBorder="1" applyAlignment="1" applyProtection="1">
      <alignment horizontal="center" vertical="center" wrapText="1"/>
      <protection locked="0"/>
    </xf>
    <xf numFmtId="0" fontId="52" fillId="0" borderId="79" xfId="0" applyFont="1" applyFill="1" applyBorder="1" applyAlignment="1" applyProtection="1">
      <alignment horizontal="left" vertical="center" wrapText="1"/>
      <protection locked="0"/>
    </xf>
    <xf numFmtId="0" fontId="52" fillId="0" borderId="79" xfId="0" applyFont="1" applyFill="1" applyBorder="1" applyAlignment="1" applyProtection="1">
      <alignment horizontal="center" vertical="center" wrapText="1"/>
      <protection hidden="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54" fillId="5" borderId="0" xfId="0" applyNumberFormat="1" applyFont="1" applyFill="1" applyBorder="1" applyAlignment="1">
      <alignment horizontal="center" vertical="center"/>
    </xf>
    <xf numFmtId="0" fontId="51" fillId="11" borderId="11" xfId="0" applyFont="1" applyFill="1" applyBorder="1" applyAlignment="1">
      <alignment horizontal="center" vertical="center" wrapText="1"/>
    </xf>
    <xf numFmtId="0" fontId="51" fillId="11" borderId="12" xfId="0" applyFont="1" applyFill="1" applyBorder="1" applyAlignment="1">
      <alignment horizontal="center" vertical="center" wrapText="1"/>
    </xf>
    <xf numFmtId="0" fontId="51" fillId="11" borderId="13" xfId="0" applyFont="1" applyFill="1" applyBorder="1" applyAlignment="1">
      <alignment horizontal="center" vertical="center" wrapText="1"/>
    </xf>
    <xf numFmtId="49" fontId="51" fillId="11" borderId="14" xfId="0" applyNumberFormat="1" applyFont="1" applyFill="1" applyBorder="1" applyAlignment="1">
      <alignment horizontal="center" vertical="center" wrapText="1"/>
    </xf>
    <xf numFmtId="49" fontId="51" fillId="11" borderId="15" xfId="0" applyNumberFormat="1" applyFont="1" applyFill="1" applyBorder="1" applyAlignment="1">
      <alignment horizontal="center" vertical="center" wrapText="1"/>
    </xf>
    <xf numFmtId="49" fontId="51" fillId="11" borderId="16" xfId="0" applyNumberFormat="1" applyFont="1" applyFill="1" applyBorder="1" applyAlignment="1">
      <alignment horizontal="center" vertical="center" wrapText="1"/>
    </xf>
    <xf numFmtId="0" fontId="51" fillId="9" borderId="11" xfId="0" applyFont="1" applyFill="1" applyBorder="1" applyAlignment="1">
      <alignment horizontal="center" vertical="center" wrapText="1"/>
    </xf>
    <xf numFmtId="0" fontId="51" fillId="9" borderId="12" xfId="0" applyFont="1" applyFill="1" applyBorder="1" applyAlignment="1">
      <alignment horizontal="center" vertical="center" wrapText="1"/>
    </xf>
    <xf numFmtId="0" fontId="51" fillId="9" borderId="13" xfId="0" applyFont="1" applyFill="1" applyBorder="1" applyAlignment="1">
      <alignment horizontal="center" vertical="center" wrapText="1"/>
    </xf>
    <xf numFmtId="49" fontId="51" fillId="9" borderId="14" xfId="0" applyNumberFormat="1" applyFont="1" applyFill="1" applyBorder="1" applyAlignment="1">
      <alignment horizontal="center" vertical="center" wrapText="1"/>
    </xf>
    <xf numFmtId="49" fontId="51" fillId="9" borderId="15" xfId="0" applyNumberFormat="1" applyFont="1" applyFill="1" applyBorder="1" applyAlignment="1">
      <alignment horizontal="center" vertical="center" wrapText="1"/>
    </xf>
    <xf numFmtId="49" fontId="51" fillId="9" borderId="16" xfId="0" applyNumberFormat="1" applyFont="1" applyFill="1" applyBorder="1" applyAlignment="1">
      <alignment horizontal="center" vertical="center" wrapText="1"/>
    </xf>
    <xf numFmtId="0" fontId="51" fillId="6" borderId="11" xfId="0" applyFont="1" applyFill="1" applyBorder="1" applyAlignment="1">
      <alignment horizontal="center" vertical="center" wrapText="1"/>
    </xf>
    <xf numFmtId="0" fontId="51" fillId="6" borderId="12" xfId="0" applyFont="1" applyFill="1" applyBorder="1" applyAlignment="1">
      <alignment horizontal="center" vertical="center" wrapText="1"/>
    </xf>
    <xf numFmtId="0" fontId="51" fillId="6" borderId="13" xfId="0" applyFont="1" applyFill="1" applyBorder="1" applyAlignment="1">
      <alignment horizontal="center" vertical="center" wrapText="1"/>
    </xf>
    <xf numFmtId="49" fontId="51" fillId="6" borderId="14" xfId="0" applyNumberFormat="1" applyFont="1" applyFill="1" applyBorder="1" applyAlignment="1">
      <alignment horizontal="center" vertical="center" wrapText="1"/>
    </xf>
    <xf numFmtId="49" fontId="51" fillId="6" borderId="15" xfId="0" applyNumberFormat="1" applyFont="1" applyFill="1" applyBorder="1" applyAlignment="1">
      <alignment horizontal="center" vertical="center" wrapText="1"/>
    </xf>
    <xf numFmtId="49" fontId="51" fillId="6" borderId="16" xfId="0" applyNumberFormat="1" applyFont="1" applyFill="1" applyBorder="1" applyAlignment="1">
      <alignment horizontal="center" vertical="center" wrapText="1"/>
    </xf>
    <xf numFmtId="49" fontId="51" fillId="10" borderId="14" xfId="0" applyNumberFormat="1" applyFont="1" applyFill="1" applyBorder="1" applyAlignment="1">
      <alignment horizontal="center" vertical="center" wrapText="1"/>
    </xf>
    <xf numFmtId="49" fontId="51" fillId="10" borderId="15" xfId="0" applyNumberFormat="1" applyFont="1" applyFill="1" applyBorder="1" applyAlignment="1">
      <alignment horizontal="center" vertical="center" wrapText="1"/>
    </xf>
    <xf numFmtId="49" fontId="51" fillId="10" borderId="16" xfId="0" applyNumberFormat="1" applyFont="1" applyFill="1" applyBorder="1" applyAlignment="1">
      <alignment horizontal="center" vertical="center" wrapText="1"/>
    </xf>
    <xf numFmtId="0" fontId="51" fillId="10" borderId="11" xfId="0" applyFont="1" applyFill="1" applyBorder="1" applyAlignment="1">
      <alignment horizontal="center" vertical="center" wrapText="1"/>
    </xf>
    <xf numFmtId="0" fontId="51" fillId="10" borderId="12" xfId="0" applyFont="1" applyFill="1" applyBorder="1" applyAlignment="1">
      <alignment horizontal="center" vertical="center" wrapText="1"/>
    </xf>
    <xf numFmtId="0" fontId="51" fillId="10" borderId="13" xfId="0" applyFont="1" applyFill="1" applyBorder="1" applyAlignment="1">
      <alignment horizontal="center" vertical="center" wrapText="1"/>
    </xf>
    <xf numFmtId="0" fontId="51" fillId="9" borderId="6" xfId="0" applyFont="1" applyFill="1" applyBorder="1" applyAlignment="1">
      <alignment horizontal="center" vertical="center" wrapText="1"/>
    </xf>
    <xf numFmtId="49" fontId="51" fillId="6" borderId="11" xfId="0" applyNumberFormat="1" applyFont="1" applyFill="1" applyBorder="1" applyAlignment="1">
      <alignment horizontal="center" vertical="center" wrapText="1"/>
    </xf>
    <xf numFmtId="49" fontId="51" fillId="6" borderId="12" xfId="0" applyNumberFormat="1" applyFont="1" applyFill="1" applyBorder="1" applyAlignment="1">
      <alignment horizontal="center" vertical="center" wrapText="1"/>
    </xf>
    <xf numFmtId="49" fontId="51" fillId="6" borderId="13" xfId="0" applyNumberFormat="1" applyFont="1" applyFill="1" applyBorder="1" applyAlignment="1">
      <alignment horizontal="center" vertical="center" wrapText="1"/>
    </xf>
    <xf numFmtId="49" fontId="51" fillId="10" borderId="11" xfId="0" applyNumberFormat="1" applyFont="1" applyFill="1" applyBorder="1" applyAlignment="1">
      <alignment horizontal="center" vertical="center" wrapText="1"/>
    </xf>
    <xf numFmtId="49" fontId="51" fillId="10" borderId="12" xfId="0" applyNumberFormat="1" applyFont="1" applyFill="1" applyBorder="1" applyAlignment="1">
      <alignment horizontal="center" vertical="center" wrapText="1"/>
    </xf>
    <xf numFmtId="49" fontId="51" fillId="10" borderId="13" xfId="0" applyNumberFormat="1" applyFont="1" applyFill="1" applyBorder="1" applyAlignment="1">
      <alignment horizontal="center" vertical="center" wrapText="1"/>
    </xf>
    <xf numFmtId="49" fontId="51" fillId="2" borderId="11" xfId="0" applyNumberFormat="1" applyFont="1" applyFill="1" applyBorder="1" applyAlignment="1">
      <alignment horizontal="center" vertical="center" wrapText="1"/>
    </xf>
    <xf numFmtId="49" fontId="51" fillId="2" borderId="12" xfId="0" applyNumberFormat="1" applyFont="1" applyFill="1" applyBorder="1" applyAlignment="1">
      <alignment horizontal="center" vertical="center" wrapText="1"/>
    </xf>
    <xf numFmtId="49" fontId="51" fillId="2" borderId="13" xfId="0" applyNumberFormat="1" applyFont="1" applyFill="1" applyBorder="1" applyAlignment="1">
      <alignment horizontal="center" vertical="center" wrapText="1"/>
    </xf>
    <xf numFmtId="49" fontId="51" fillId="11" borderId="11" xfId="0" applyNumberFormat="1" applyFont="1" applyFill="1" applyBorder="1" applyAlignment="1">
      <alignment horizontal="center" vertical="center" wrapText="1"/>
    </xf>
    <xf numFmtId="49" fontId="51" fillId="11" borderId="12" xfId="0" applyNumberFormat="1" applyFont="1" applyFill="1" applyBorder="1" applyAlignment="1">
      <alignment horizontal="center" vertical="center" wrapText="1"/>
    </xf>
    <xf numFmtId="49" fontId="51" fillId="11" borderId="13" xfId="0" applyNumberFormat="1" applyFont="1" applyFill="1" applyBorder="1" applyAlignment="1">
      <alignment horizontal="center" vertical="center" wrapText="1"/>
    </xf>
    <xf numFmtId="49" fontId="51" fillId="9" borderId="11" xfId="0" applyNumberFormat="1" applyFont="1" applyFill="1" applyBorder="1" applyAlignment="1">
      <alignment horizontal="center" vertical="center" wrapText="1"/>
    </xf>
    <xf numFmtId="49" fontId="51" fillId="9" borderId="12" xfId="0" applyNumberFormat="1" applyFont="1" applyFill="1" applyBorder="1" applyAlignment="1">
      <alignment horizontal="center" vertical="center" wrapText="1"/>
    </xf>
    <xf numFmtId="49" fontId="51" fillId="9" borderId="13" xfId="0" applyNumberFormat="1" applyFont="1" applyFill="1" applyBorder="1" applyAlignment="1">
      <alignment horizontal="center" vertical="center" wrapText="1"/>
    </xf>
    <xf numFmtId="49" fontId="51" fillId="10" borderId="3" xfId="0" applyNumberFormat="1" applyFont="1" applyFill="1" applyBorder="1" applyAlignment="1">
      <alignment horizontal="center" vertical="center" wrapText="1"/>
    </xf>
    <xf numFmtId="0" fontId="51" fillId="10" borderId="3" xfId="0" applyFont="1" applyFill="1" applyBorder="1" applyAlignment="1">
      <alignment horizontal="center" vertical="center" wrapText="1"/>
    </xf>
    <xf numFmtId="49" fontId="51" fillId="2" borderId="14" xfId="0" applyNumberFormat="1" applyFont="1" applyFill="1" applyBorder="1" applyAlignment="1">
      <alignment horizontal="center" vertical="center" wrapText="1"/>
    </xf>
    <xf numFmtId="49" fontId="51" fillId="2" borderId="15" xfId="0" applyNumberFormat="1" applyFont="1" applyFill="1" applyBorder="1" applyAlignment="1">
      <alignment horizontal="center" vertical="center" wrapText="1"/>
    </xf>
    <xf numFmtId="49" fontId="51" fillId="2" borderId="16" xfId="0" applyNumberFormat="1" applyFont="1" applyFill="1" applyBorder="1" applyAlignment="1">
      <alignment horizontal="center" vertical="center" wrapText="1"/>
    </xf>
    <xf numFmtId="0" fontId="51" fillId="2" borderId="1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39" fillId="0" borderId="87" xfId="0" applyNumberFormat="1" applyFont="1" applyBorder="1" applyAlignment="1" applyProtection="1">
      <alignment horizontal="center" vertical="center"/>
      <protection hidden="1"/>
    </xf>
    <xf numFmtId="9" fontId="39"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39" fillId="4" borderId="87" xfId="0" applyNumberFormat="1" applyFont="1" applyFill="1" applyBorder="1" applyAlignment="1" applyProtection="1">
      <alignment horizontal="center" vertical="center"/>
      <protection hidden="1"/>
    </xf>
    <xf numFmtId="9" fontId="39" fillId="4" borderId="88" xfId="0" applyNumberFormat="1" applyFont="1" applyFill="1" applyBorder="1" applyAlignment="1" applyProtection="1">
      <alignment horizontal="center" vertical="center"/>
      <protection hidden="1"/>
    </xf>
    <xf numFmtId="9" fontId="39"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39"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20" fillId="0" borderId="24" xfId="0" applyFont="1" applyBorder="1" applyAlignment="1" applyProtection="1">
      <alignment horizontal="left" vertical="top" wrapText="1"/>
      <protection locked="0"/>
    </xf>
    <xf numFmtId="0" fontId="20" fillId="0" borderId="1" xfId="0" applyFont="1" applyBorder="1" applyAlignment="1" applyProtection="1">
      <alignment horizontal="left" vertical="top"/>
      <protection locked="0"/>
    </xf>
    <xf numFmtId="0" fontId="20" fillId="0" borderId="25" xfId="0" applyFont="1" applyBorder="1" applyAlignment="1" applyProtection="1">
      <alignment horizontal="left" vertical="top"/>
      <protection locked="0"/>
    </xf>
    <xf numFmtId="0" fontId="45" fillId="12" borderId="0" xfId="0" applyFont="1" applyFill="1" applyBorder="1" applyAlignment="1">
      <alignment horizontal="center" vertical="center" wrapText="1"/>
    </xf>
    <xf numFmtId="0" fontId="50" fillId="0" borderId="24" xfId="0" applyFont="1" applyFill="1" applyBorder="1" applyAlignment="1" applyProtection="1">
      <alignment horizontal="left" vertical="top" wrapText="1"/>
      <protection locked="0"/>
    </xf>
    <xf numFmtId="0" fontId="50" fillId="0" borderId="1" xfId="0" applyFont="1" applyFill="1" applyBorder="1" applyAlignment="1" applyProtection="1">
      <alignment horizontal="left" vertical="top"/>
      <protection locked="0"/>
    </xf>
    <xf numFmtId="0" fontId="50" fillId="0" borderId="25" xfId="0" applyFont="1" applyFill="1" applyBorder="1" applyAlignment="1" applyProtection="1">
      <alignment horizontal="left" vertical="top"/>
      <protection locked="0"/>
    </xf>
    <xf numFmtId="0" fontId="0" fillId="0" borderId="73" xfId="0" applyBorder="1" applyAlignment="1">
      <alignment horizontal="center"/>
    </xf>
    <xf numFmtId="0" fontId="0" fillId="0" borderId="1" xfId="0" applyBorder="1" applyAlignment="1">
      <alignment horizontal="center"/>
    </xf>
    <xf numFmtId="49" fontId="42" fillId="4" borderId="91" xfId="0" applyNumberFormat="1" applyFont="1" applyFill="1" applyBorder="1" applyAlignment="1">
      <alignment horizontal="left" vertical="center" wrapText="1"/>
    </xf>
    <xf numFmtId="49" fontId="42" fillId="4" borderId="3" xfId="0" applyNumberFormat="1" applyFont="1" applyFill="1" applyBorder="1" applyAlignment="1">
      <alignment horizontal="left" vertical="center" wrapText="1"/>
    </xf>
    <xf numFmtId="49" fontId="42" fillId="4" borderId="92" xfId="0" applyNumberFormat="1" applyFont="1" applyFill="1" applyBorder="1" applyAlignment="1">
      <alignment horizontal="left" vertical="center" wrapText="1"/>
    </xf>
    <xf numFmtId="49" fontId="42" fillId="4" borderId="4" xfId="0" applyNumberFormat="1" applyFont="1" applyFill="1" applyBorder="1" applyAlignment="1">
      <alignment horizontal="left" vertical="center" wrapText="1"/>
    </xf>
    <xf numFmtId="0" fontId="44" fillId="2" borderId="7" xfId="0" applyFont="1" applyFill="1" applyBorder="1" applyAlignment="1">
      <alignment horizontal="center" vertical="center" wrapText="1"/>
    </xf>
    <xf numFmtId="0" fontId="44" fillId="2" borderId="6" xfId="0" applyFont="1" applyFill="1" applyBorder="1" applyAlignment="1">
      <alignment horizontal="center" vertical="center" wrapText="1"/>
    </xf>
    <xf numFmtId="0" fontId="49" fillId="4" borderId="3" xfId="0" applyFont="1" applyFill="1" applyBorder="1" applyAlignment="1" applyProtection="1">
      <alignment horizontal="center" vertical="center"/>
      <protection locked="0"/>
    </xf>
    <xf numFmtId="164" fontId="49" fillId="4" borderId="22" xfId="0" applyNumberFormat="1" applyFont="1" applyFill="1" applyBorder="1" applyAlignment="1" applyProtection="1">
      <alignment horizontal="center" vertical="center"/>
      <protection locked="0"/>
    </xf>
    <xf numFmtId="164" fontId="49" fillId="4" borderId="23" xfId="0" applyNumberFormat="1" applyFont="1" applyFill="1" applyBorder="1" applyAlignment="1" applyProtection="1">
      <alignment horizontal="center" vertical="center"/>
      <protection locked="0"/>
    </xf>
    <xf numFmtId="164" fontId="49" fillId="4" borderId="9" xfId="0" applyNumberFormat="1" applyFont="1" applyFill="1" applyBorder="1" applyAlignment="1" applyProtection="1">
      <alignment horizontal="center" vertical="center"/>
      <protection locked="0"/>
    </xf>
    <xf numFmtId="0" fontId="45" fillId="2" borderId="24" xfId="0" applyFont="1" applyFill="1" applyBorder="1" applyAlignment="1">
      <alignment horizontal="center" vertical="center" wrapText="1"/>
    </xf>
    <xf numFmtId="0" fontId="45" fillId="2" borderId="1" xfId="0" applyFont="1" applyFill="1" applyBorder="1" applyAlignment="1">
      <alignment horizontal="center" vertical="center" wrapText="1"/>
    </xf>
    <xf numFmtId="0" fontId="45"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2" fillId="4" borderId="90" xfId="0" applyNumberFormat="1" applyFont="1" applyFill="1" applyBorder="1" applyAlignment="1">
      <alignment horizontal="left" vertical="center" wrapText="1"/>
    </xf>
    <xf numFmtId="49" fontId="42" fillId="4" borderId="2" xfId="0" applyNumberFormat="1" applyFont="1" applyFill="1" applyBorder="1" applyAlignment="1">
      <alignment horizontal="left" vertical="center" wrapText="1"/>
    </xf>
    <xf numFmtId="49" fontId="20" fillId="4" borderId="2" xfId="0" applyNumberFormat="1" applyFont="1" applyFill="1" applyBorder="1" applyAlignment="1" applyProtection="1">
      <alignment horizontal="left" vertical="top" wrapText="1"/>
      <protection locked="0"/>
    </xf>
    <xf numFmtId="49" fontId="20" fillId="4" borderId="84" xfId="0" applyNumberFormat="1" applyFon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85"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86" xfId="0" applyNumberFormat="1" applyFill="1" applyBorder="1" applyAlignment="1" applyProtection="1">
      <alignment horizontal="left"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9" t="s">
        <v>0</v>
      </c>
      <c r="C2" s="200"/>
      <c r="D2" s="200"/>
      <c r="E2" s="200"/>
      <c r="F2" s="200"/>
      <c r="G2" s="200"/>
      <c r="H2" s="201"/>
    </row>
    <row r="3" spans="2:8" ht="65.25" customHeight="1" x14ac:dyDescent="0.2">
      <c r="B3" s="202" t="s">
        <v>1</v>
      </c>
      <c r="C3" s="203"/>
      <c r="D3" s="203"/>
      <c r="E3" s="203"/>
      <c r="F3" s="203"/>
      <c r="G3" s="203"/>
      <c r="H3" s="204"/>
    </row>
    <row r="4" spans="2:8" ht="82.5" customHeight="1" x14ac:dyDescent="0.2">
      <c r="B4" s="202"/>
      <c r="C4" s="203"/>
      <c r="D4" s="203"/>
      <c r="E4" s="203"/>
      <c r="F4" s="203"/>
      <c r="G4" s="203"/>
      <c r="H4" s="204"/>
    </row>
    <row r="5" spans="2:8" ht="21.75" customHeight="1" x14ac:dyDescent="0.2">
      <c r="B5" s="205" t="s">
        <v>2</v>
      </c>
      <c r="C5" s="206"/>
      <c r="D5" s="206"/>
      <c r="E5" s="206"/>
      <c r="F5" s="206"/>
      <c r="G5" s="206"/>
      <c r="H5" s="207"/>
    </row>
    <row r="6" spans="2:8" ht="42" customHeight="1" x14ac:dyDescent="0.2">
      <c r="B6" s="208" t="s">
        <v>3</v>
      </c>
      <c r="C6" s="209"/>
      <c r="D6" s="209"/>
      <c r="E6" s="209"/>
      <c r="F6" s="209"/>
      <c r="G6" s="209"/>
      <c r="H6" s="210"/>
    </row>
    <row r="7" spans="2:8" ht="14.25" customHeight="1" x14ac:dyDescent="0.2">
      <c r="B7" s="208"/>
      <c r="C7" s="209"/>
      <c r="D7" s="209"/>
      <c r="E7" s="209"/>
      <c r="F7" s="209"/>
      <c r="G7" s="209"/>
      <c r="H7" s="210"/>
    </row>
    <row r="8" spans="2:8" ht="12.75" customHeight="1" thickBot="1" x14ac:dyDescent="0.25">
      <c r="B8" s="57"/>
      <c r="C8" s="51"/>
      <c r="D8" s="67"/>
      <c r="E8" s="68"/>
      <c r="F8" s="68"/>
      <c r="G8" s="65"/>
      <c r="H8" s="66"/>
    </row>
    <row r="9" spans="2:8" ht="21" customHeight="1" thickTop="1" x14ac:dyDescent="0.2">
      <c r="B9" s="57"/>
      <c r="C9" s="211" t="s">
        <v>4</v>
      </c>
      <c r="D9" s="212"/>
      <c r="E9" s="213" t="s">
        <v>5</v>
      </c>
      <c r="F9" s="214"/>
      <c r="G9" s="51"/>
      <c r="H9" s="59"/>
    </row>
    <row r="10" spans="2:8" ht="37.5" customHeight="1" x14ac:dyDescent="0.2">
      <c r="B10" s="57"/>
      <c r="C10" s="191" t="s">
        <v>6</v>
      </c>
      <c r="D10" s="192"/>
      <c r="E10" s="193" t="s">
        <v>7</v>
      </c>
      <c r="F10" s="194"/>
      <c r="G10" s="51"/>
      <c r="H10" s="59"/>
    </row>
    <row r="11" spans="2:8" ht="39.75" customHeight="1" x14ac:dyDescent="0.2">
      <c r="B11" s="57"/>
      <c r="C11" s="195" t="s">
        <v>8</v>
      </c>
      <c r="D11" s="196"/>
      <c r="E11" s="172" t="s">
        <v>9</v>
      </c>
      <c r="F11" s="173"/>
      <c r="G11" s="51"/>
      <c r="H11" s="59"/>
    </row>
    <row r="12" spans="2:8" ht="59.25" customHeight="1" x14ac:dyDescent="0.2">
      <c r="B12" s="57"/>
      <c r="C12" s="195" t="s">
        <v>10</v>
      </c>
      <c r="D12" s="196"/>
      <c r="E12" s="197" t="s">
        <v>11</v>
      </c>
      <c r="F12" s="198"/>
      <c r="G12" s="51"/>
      <c r="H12" s="59"/>
    </row>
    <row r="13" spans="2:8" ht="33.75" customHeight="1" x14ac:dyDescent="0.2">
      <c r="B13" s="57"/>
      <c r="C13" s="170" t="s">
        <v>12</v>
      </c>
      <c r="D13" s="171"/>
      <c r="E13" s="172" t="s">
        <v>13</v>
      </c>
      <c r="F13" s="173"/>
      <c r="G13" s="51"/>
      <c r="H13" s="59"/>
    </row>
    <row r="14" spans="2:8" ht="19.5" customHeight="1" x14ac:dyDescent="0.2">
      <c r="B14" s="57"/>
      <c r="C14" s="63"/>
      <c r="D14" s="63"/>
      <c r="E14" s="64"/>
      <c r="F14" s="64"/>
      <c r="G14" s="51"/>
      <c r="H14" s="59"/>
    </row>
    <row r="15" spans="2:8" ht="37.5" customHeight="1" thickBot="1" x14ac:dyDescent="0.25">
      <c r="B15" s="166" t="s">
        <v>14</v>
      </c>
      <c r="C15" s="167"/>
      <c r="D15" s="167"/>
      <c r="E15" s="167"/>
      <c r="F15" s="167"/>
      <c r="G15" s="167"/>
      <c r="H15" s="168"/>
    </row>
    <row r="16" spans="2:8" ht="27.75" customHeight="1" thickBot="1" x14ac:dyDescent="0.25">
      <c r="B16" s="57"/>
      <c r="C16" s="174" t="s">
        <v>15</v>
      </c>
      <c r="D16" s="175"/>
      <c r="E16" s="175" t="s">
        <v>16</v>
      </c>
      <c r="F16" s="186"/>
      <c r="G16" s="51"/>
      <c r="H16" s="59"/>
    </row>
    <row r="17" spans="2:8" ht="27.75" customHeight="1" x14ac:dyDescent="0.2">
      <c r="B17" s="57"/>
      <c r="C17" s="187" t="s">
        <v>17</v>
      </c>
      <c r="D17" s="188"/>
      <c r="E17" s="189" t="s">
        <v>18</v>
      </c>
      <c r="F17" s="190"/>
      <c r="G17" s="87"/>
      <c r="H17" s="59"/>
    </row>
    <row r="18" spans="2:8" ht="41.25" customHeight="1" x14ac:dyDescent="0.2">
      <c r="B18" s="57"/>
      <c r="C18" s="176" t="s">
        <v>19</v>
      </c>
      <c r="D18" s="177"/>
      <c r="E18" s="178" t="s">
        <v>20</v>
      </c>
      <c r="F18" s="179"/>
      <c r="G18" s="88"/>
      <c r="H18" s="59"/>
    </row>
    <row r="19" spans="2:8" ht="37.5" customHeight="1" thickBot="1" x14ac:dyDescent="0.25">
      <c r="B19" s="57"/>
      <c r="C19" s="180" t="s">
        <v>21</v>
      </c>
      <c r="D19" s="181"/>
      <c r="E19" s="182" t="s">
        <v>22</v>
      </c>
      <c r="F19" s="183"/>
      <c r="G19" s="88"/>
      <c r="H19" s="59"/>
    </row>
    <row r="20" spans="2:8" ht="11.25" customHeight="1" x14ac:dyDescent="0.2">
      <c r="B20" s="52"/>
      <c r="C20" s="53"/>
      <c r="D20" s="53"/>
      <c r="E20" s="53"/>
      <c r="F20" s="53"/>
      <c r="G20" s="53"/>
      <c r="H20" s="54"/>
    </row>
    <row r="21" spans="2:8" ht="14.25" customHeight="1" x14ac:dyDescent="0.2">
      <c r="B21" s="55"/>
      <c r="C21" s="184"/>
      <c r="D21" s="184"/>
      <c r="E21" s="185"/>
      <c r="F21" s="185"/>
      <c r="G21" s="185"/>
      <c r="H21" s="56"/>
    </row>
    <row r="22" spans="2:8" ht="36" customHeight="1" x14ac:dyDescent="0.2">
      <c r="B22" s="166" t="s">
        <v>23</v>
      </c>
      <c r="C22" s="167"/>
      <c r="D22" s="167"/>
      <c r="E22" s="167"/>
      <c r="F22" s="167"/>
      <c r="G22" s="167"/>
      <c r="H22" s="168"/>
    </row>
    <row r="23" spans="2:8" ht="13.5" x14ac:dyDescent="0.2">
      <c r="B23" s="57"/>
      <c r="C23" s="58"/>
      <c r="D23" s="58"/>
      <c r="E23" s="169"/>
      <c r="F23" s="169"/>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B22" zoomScale="80" zoomScaleNormal="80" workbookViewId="0">
      <selection activeCell="I16" sqref="I16"/>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5" t="s">
        <v>24</v>
      </c>
      <c r="C14" s="215"/>
      <c r="D14" s="215"/>
      <c r="E14" s="215"/>
      <c r="F14" s="215"/>
      <c r="G14" s="215"/>
      <c r="H14" s="215"/>
      <c r="I14" s="215"/>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147" t="s">
        <v>25</v>
      </c>
      <c r="C15" s="147" t="s">
        <v>6</v>
      </c>
      <c r="D15" s="148" t="s">
        <v>8</v>
      </c>
      <c r="E15" s="149" t="s">
        <v>26</v>
      </c>
      <c r="F15" s="149" t="s">
        <v>27</v>
      </c>
      <c r="G15" s="149" t="s">
        <v>28</v>
      </c>
      <c r="H15" s="150" t="s">
        <v>29</v>
      </c>
      <c r="I15" s="14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89" t="str">
        <f>1&amp;E16</f>
        <v>1a</v>
      </c>
      <c r="B16" s="231" t="s">
        <v>31</v>
      </c>
      <c r="C16" s="241" t="s">
        <v>32</v>
      </c>
      <c r="D16" s="228" t="s">
        <v>33</v>
      </c>
      <c r="E16" s="135" t="s">
        <v>34</v>
      </c>
      <c r="F16" s="136" t="s">
        <v>35</v>
      </c>
      <c r="G16" s="151" t="s">
        <v>39</v>
      </c>
      <c r="H16" s="152" t="s">
        <v>237</v>
      </c>
      <c r="I16" s="153" t="str">
        <f>+IF(G16="Si","Mantenimiento del control",IF(G16="En proceso","Oportunidad de mejora","Deficiencia de control"))</f>
        <v>Mantenimiento del control</v>
      </c>
      <c r="J16" s="90">
        <f t="shared" ref="J16:J27" si="0">+IF(G16="Si",20,IF(G16="En proceso",10,0))</f>
        <v>20</v>
      </c>
      <c r="K16" s="90">
        <v>0.123</v>
      </c>
      <c r="L16" s="90">
        <f>+J16+K16</f>
        <v>20.123000000000001</v>
      </c>
    </row>
    <row r="17" spans="1:32" s="49" customFormat="1" ht="90" x14ac:dyDescent="0.25">
      <c r="A17" s="89" t="str">
        <f t="shared" ref="A17:A27" si="1">1&amp;E17</f>
        <v>1b</v>
      </c>
      <c r="B17" s="232"/>
      <c r="C17" s="242"/>
      <c r="D17" s="229"/>
      <c r="E17" s="137" t="s">
        <v>37</v>
      </c>
      <c r="F17" s="138" t="s">
        <v>38</v>
      </c>
      <c r="G17" s="154" t="s">
        <v>39</v>
      </c>
      <c r="H17" s="155" t="s">
        <v>238</v>
      </c>
      <c r="I17" s="156" t="str">
        <f t="shared" ref="I17:I59" si="2">+IF(G17="Si","Mantenimiento del control",IF(G17="En proceso","Oportunidad de mejora","Deficiencia de control"))</f>
        <v>Mantenimiento del control</v>
      </c>
      <c r="J17" s="91">
        <f t="shared" si="0"/>
        <v>20</v>
      </c>
      <c r="K17" s="90">
        <v>0.1234</v>
      </c>
      <c r="L17" s="90">
        <f t="shared" ref="L17:L59" si="3">+J17+K17</f>
        <v>20.1234</v>
      </c>
    </row>
    <row r="18" spans="1:32" s="49" customFormat="1" ht="75.75" customHeight="1" x14ac:dyDescent="0.25">
      <c r="A18" s="89" t="str">
        <f t="shared" si="1"/>
        <v>1c</v>
      </c>
      <c r="B18" s="232"/>
      <c r="C18" s="242"/>
      <c r="D18" s="229"/>
      <c r="E18" s="137" t="s">
        <v>40</v>
      </c>
      <c r="F18" s="139" t="s">
        <v>41</v>
      </c>
      <c r="G18" s="157" t="s">
        <v>39</v>
      </c>
      <c r="H18" s="158" t="s">
        <v>203</v>
      </c>
      <c r="I18" s="159" t="str">
        <f t="shared" si="2"/>
        <v>Mantenimiento del control</v>
      </c>
      <c r="J18" s="91">
        <f t="shared" si="0"/>
        <v>20</v>
      </c>
      <c r="K18" s="90">
        <v>0.12345</v>
      </c>
      <c r="L18" s="90">
        <f t="shared" si="3"/>
        <v>20.123449999999998</v>
      </c>
    </row>
    <row r="19" spans="1:32" s="49" customFormat="1" ht="37.5" customHeight="1" x14ac:dyDescent="0.25">
      <c r="A19" s="89" t="str">
        <f t="shared" si="1"/>
        <v>1d</v>
      </c>
      <c r="B19" s="232"/>
      <c r="C19" s="242"/>
      <c r="D19" s="229"/>
      <c r="E19" s="137" t="s">
        <v>42</v>
      </c>
      <c r="F19" s="139" t="s">
        <v>43</v>
      </c>
      <c r="G19" s="157" t="s">
        <v>39</v>
      </c>
      <c r="H19" s="158" t="s">
        <v>204</v>
      </c>
      <c r="I19" s="159" t="str">
        <f t="shared" si="2"/>
        <v>Mantenimiento del control</v>
      </c>
      <c r="J19" s="91">
        <f t="shared" si="0"/>
        <v>20</v>
      </c>
      <c r="K19" s="90">
        <v>0.123456</v>
      </c>
      <c r="L19" s="90">
        <f t="shared" si="3"/>
        <v>20.123456000000001</v>
      </c>
    </row>
    <row r="20" spans="1:32" s="49" customFormat="1" ht="37.5" customHeight="1" x14ac:dyDescent="0.25">
      <c r="A20" s="89" t="str">
        <f t="shared" si="1"/>
        <v>1e</v>
      </c>
      <c r="B20" s="232"/>
      <c r="C20" s="242"/>
      <c r="D20" s="229"/>
      <c r="E20" s="137" t="s">
        <v>44</v>
      </c>
      <c r="F20" s="139" t="s">
        <v>45</v>
      </c>
      <c r="G20" s="157" t="s">
        <v>39</v>
      </c>
      <c r="H20" s="158" t="s">
        <v>205</v>
      </c>
      <c r="I20" s="159" t="str">
        <f t="shared" si="2"/>
        <v>Mantenimiento del control</v>
      </c>
      <c r="J20" s="91">
        <f t="shared" si="0"/>
        <v>20</v>
      </c>
      <c r="K20" s="90">
        <v>0.12345678</v>
      </c>
      <c r="L20" s="90">
        <f t="shared" si="3"/>
        <v>20.123456780000001</v>
      </c>
    </row>
    <row r="21" spans="1:32" s="49" customFormat="1" ht="75" customHeight="1" x14ac:dyDescent="0.25">
      <c r="A21" s="89" t="str">
        <f t="shared" si="1"/>
        <v>1f</v>
      </c>
      <c r="B21" s="232"/>
      <c r="C21" s="242"/>
      <c r="D21" s="229"/>
      <c r="E21" s="137" t="s">
        <v>46</v>
      </c>
      <c r="F21" s="139" t="s">
        <v>47</v>
      </c>
      <c r="G21" s="157" t="s">
        <v>76</v>
      </c>
      <c r="H21" s="158" t="s">
        <v>206</v>
      </c>
      <c r="I21" s="159" t="str">
        <f t="shared" si="2"/>
        <v>Oportunidad de mejora</v>
      </c>
      <c r="J21" s="91">
        <f t="shared" si="0"/>
        <v>10</v>
      </c>
      <c r="K21" s="90">
        <v>0.123456789</v>
      </c>
      <c r="L21" s="90">
        <f t="shared" si="3"/>
        <v>10.123456789</v>
      </c>
    </row>
    <row r="22" spans="1:32" s="49" customFormat="1" ht="88.5" customHeight="1" x14ac:dyDescent="0.25">
      <c r="A22" s="89" t="str">
        <f t="shared" si="1"/>
        <v>1g</v>
      </c>
      <c r="B22" s="232"/>
      <c r="C22" s="242"/>
      <c r="D22" s="229"/>
      <c r="E22" s="137" t="s">
        <v>48</v>
      </c>
      <c r="F22" s="139" t="s">
        <v>49</v>
      </c>
      <c r="G22" s="157" t="s">
        <v>39</v>
      </c>
      <c r="H22" s="158" t="s">
        <v>239</v>
      </c>
      <c r="I22" s="159" t="str">
        <f t="shared" si="2"/>
        <v>Mantenimiento del control</v>
      </c>
      <c r="J22" s="91">
        <f t="shared" si="0"/>
        <v>20</v>
      </c>
      <c r="K22" s="90">
        <v>0.12345678910000001</v>
      </c>
      <c r="L22" s="90">
        <f t="shared" si="3"/>
        <v>20.1234567891</v>
      </c>
    </row>
    <row r="23" spans="1:32" s="49" customFormat="1" ht="142.5" customHeight="1" x14ac:dyDescent="0.25">
      <c r="A23" s="89" t="str">
        <f t="shared" si="1"/>
        <v>1h</v>
      </c>
      <c r="B23" s="232"/>
      <c r="C23" s="242"/>
      <c r="D23" s="229"/>
      <c r="E23" s="137" t="s">
        <v>50</v>
      </c>
      <c r="F23" s="139" t="s">
        <v>51</v>
      </c>
      <c r="G23" s="157" t="s">
        <v>39</v>
      </c>
      <c r="H23" s="158" t="s">
        <v>240</v>
      </c>
      <c r="I23" s="159" t="str">
        <f t="shared" si="2"/>
        <v>Mantenimiento del control</v>
      </c>
      <c r="J23" s="91">
        <f t="shared" si="0"/>
        <v>20</v>
      </c>
      <c r="K23" s="90">
        <v>0.12345678911999999</v>
      </c>
      <c r="L23" s="90">
        <f t="shared" si="3"/>
        <v>20.123456789119999</v>
      </c>
    </row>
    <row r="24" spans="1:32" s="49" customFormat="1" ht="57.75" customHeight="1" x14ac:dyDescent="0.25">
      <c r="A24" s="89" t="str">
        <f t="shared" si="1"/>
        <v>1i</v>
      </c>
      <c r="B24" s="232"/>
      <c r="C24" s="242"/>
      <c r="D24" s="229"/>
      <c r="E24" s="137" t="s">
        <v>52</v>
      </c>
      <c r="F24" s="139" t="s">
        <v>53</v>
      </c>
      <c r="G24" s="157" t="s">
        <v>39</v>
      </c>
      <c r="H24" s="158" t="s">
        <v>241</v>
      </c>
      <c r="I24" s="159" t="str">
        <f t="shared" si="2"/>
        <v>Mantenimiento del control</v>
      </c>
      <c r="J24" s="133">
        <f t="shared" si="0"/>
        <v>20</v>
      </c>
      <c r="K24" s="134">
        <v>0.123456789123</v>
      </c>
      <c r="L24" s="134">
        <f t="shared" si="3"/>
        <v>20.123456789123001</v>
      </c>
    </row>
    <row r="25" spans="1:32" s="49" customFormat="1" ht="63" customHeight="1" x14ac:dyDescent="0.25">
      <c r="A25" s="89" t="str">
        <f t="shared" si="1"/>
        <v>1j</v>
      </c>
      <c r="B25" s="232"/>
      <c r="C25" s="242"/>
      <c r="D25" s="229"/>
      <c r="E25" s="137" t="s">
        <v>54</v>
      </c>
      <c r="F25" s="139" t="s">
        <v>55</v>
      </c>
      <c r="G25" s="157" t="s">
        <v>39</v>
      </c>
      <c r="H25" s="158" t="s">
        <v>235</v>
      </c>
      <c r="I25" s="159" t="str">
        <f t="shared" si="2"/>
        <v>Mantenimiento del control</v>
      </c>
      <c r="J25" s="91">
        <f t="shared" si="0"/>
        <v>20</v>
      </c>
      <c r="K25" s="90">
        <v>0.1234567891234</v>
      </c>
      <c r="L25" s="90">
        <f t="shared" si="3"/>
        <v>20.123456789123399</v>
      </c>
    </row>
    <row r="26" spans="1:32" s="49" customFormat="1" ht="50.25" customHeight="1" x14ac:dyDescent="0.25">
      <c r="A26" s="89" t="str">
        <f t="shared" si="1"/>
        <v>1k</v>
      </c>
      <c r="B26" s="232"/>
      <c r="C26" s="242"/>
      <c r="D26" s="229"/>
      <c r="E26" s="137" t="s">
        <v>56</v>
      </c>
      <c r="F26" s="139" t="s">
        <v>57</v>
      </c>
      <c r="G26" s="157" t="s">
        <v>39</v>
      </c>
      <c r="H26" s="158" t="s">
        <v>242</v>
      </c>
      <c r="I26" s="159" t="str">
        <f t="shared" si="2"/>
        <v>Mantenimiento del control</v>
      </c>
      <c r="J26" s="91">
        <f t="shared" si="0"/>
        <v>20</v>
      </c>
      <c r="K26" s="90">
        <v>0.12345678912345</v>
      </c>
      <c r="L26" s="90">
        <f t="shared" si="3"/>
        <v>20.123456789123448</v>
      </c>
    </row>
    <row r="27" spans="1:32" s="49" customFormat="1" ht="57.75" customHeight="1" thickBot="1" x14ac:dyDescent="0.3">
      <c r="A27" s="89" t="str">
        <f t="shared" si="1"/>
        <v>1l</v>
      </c>
      <c r="B27" s="233"/>
      <c r="C27" s="243"/>
      <c r="D27" s="230"/>
      <c r="E27" s="140" t="s">
        <v>58</v>
      </c>
      <c r="F27" s="141" t="s">
        <v>59</v>
      </c>
      <c r="G27" s="160" t="s">
        <v>39</v>
      </c>
      <c r="H27" s="161" t="s">
        <v>243</v>
      </c>
      <c r="I27" s="162" t="str">
        <f t="shared" si="2"/>
        <v>Mantenimiento del control</v>
      </c>
      <c r="J27" s="91">
        <f t="shared" si="0"/>
        <v>20</v>
      </c>
      <c r="K27" s="90">
        <v>0.12345678912345601</v>
      </c>
      <c r="L27" s="90">
        <f t="shared" si="3"/>
        <v>20.123456789123455</v>
      </c>
    </row>
    <row r="28" spans="1:32" s="49" customFormat="1" ht="60" customHeight="1" x14ac:dyDescent="0.25">
      <c r="A28" s="89" t="str">
        <f>2&amp;E28</f>
        <v>2a</v>
      </c>
      <c r="B28" s="234" t="s">
        <v>60</v>
      </c>
      <c r="C28" s="244" t="s">
        <v>61</v>
      </c>
      <c r="D28" s="237" t="s">
        <v>62</v>
      </c>
      <c r="E28" s="135" t="s">
        <v>34</v>
      </c>
      <c r="F28" s="136" t="s">
        <v>63</v>
      </c>
      <c r="G28" s="151" t="s">
        <v>76</v>
      </c>
      <c r="H28" s="152" t="s">
        <v>191</v>
      </c>
      <c r="I28" s="153" t="str">
        <f t="shared" si="2"/>
        <v>Oportunidad de mejora</v>
      </c>
      <c r="J28" s="90">
        <f>+IF(G28="Si",40,IF(G28="En proceso",30,20))</f>
        <v>30</v>
      </c>
      <c r="K28" s="90">
        <v>0.23</v>
      </c>
      <c r="L28" s="90">
        <f t="shared" si="3"/>
        <v>30.23</v>
      </c>
    </row>
    <row r="29" spans="1:32" s="49" customFormat="1" ht="75" x14ac:dyDescent="0.25">
      <c r="A29" s="89" t="str">
        <f t="shared" ref="A29:A31" si="4">2&amp;E29</f>
        <v>2b</v>
      </c>
      <c r="B29" s="235"/>
      <c r="C29" s="245"/>
      <c r="D29" s="238"/>
      <c r="E29" s="137" t="s">
        <v>37</v>
      </c>
      <c r="F29" s="139" t="s">
        <v>64</v>
      </c>
      <c r="G29" s="157" t="s">
        <v>39</v>
      </c>
      <c r="H29" s="158" t="s">
        <v>192</v>
      </c>
      <c r="I29" s="159" t="str">
        <f t="shared" si="2"/>
        <v>Mantenimiento del control</v>
      </c>
      <c r="J29" s="90">
        <f>+IF(G29="Si",40,IF(G29="En proceso",30,20))</f>
        <v>40</v>
      </c>
      <c r="K29" s="90">
        <v>0.23400000000000001</v>
      </c>
      <c r="L29" s="90">
        <f t="shared" si="3"/>
        <v>40.234000000000002</v>
      </c>
    </row>
    <row r="30" spans="1:32" s="49" customFormat="1" ht="60" x14ac:dyDescent="0.25">
      <c r="A30" s="89" t="str">
        <f t="shared" si="4"/>
        <v>2c</v>
      </c>
      <c r="B30" s="235"/>
      <c r="C30" s="245"/>
      <c r="D30" s="238"/>
      <c r="E30" s="137" t="s">
        <v>40</v>
      </c>
      <c r="F30" s="139" t="s">
        <v>65</v>
      </c>
      <c r="G30" s="157" t="s">
        <v>39</v>
      </c>
      <c r="H30" s="158" t="s">
        <v>193</v>
      </c>
      <c r="I30" s="159" t="str">
        <f t="shared" si="2"/>
        <v>Mantenimiento del control</v>
      </c>
      <c r="J30" s="90">
        <f>+IF(G30="Si",40,IF(G30="En proceso",30,20))</f>
        <v>40</v>
      </c>
      <c r="K30" s="90">
        <v>0.23449999999999999</v>
      </c>
      <c r="L30" s="90">
        <f t="shared" si="3"/>
        <v>40.234499999999997</v>
      </c>
    </row>
    <row r="31" spans="1:32" s="49" customFormat="1" ht="75" customHeight="1" thickBot="1" x14ac:dyDescent="0.3">
      <c r="A31" s="89" t="str">
        <f t="shared" si="4"/>
        <v>2d</v>
      </c>
      <c r="B31" s="236"/>
      <c r="C31" s="246"/>
      <c r="D31" s="239"/>
      <c r="E31" s="140" t="s">
        <v>42</v>
      </c>
      <c r="F31" s="141" t="s">
        <v>66</v>
      </c>
      <c r="G31" s="160" t="s">
        <v>76</v>
      </c>
      <c r="H31" s="161" t="s">
        <v>207</v>
      </c>
      <c r="I31" s="162" t="str">
        <f t="shared" si="2"/>
        <v>Oportunidad de mejora</v>
      </c>
      <c r="J31" s="90">
        <f>+IF(G31="Si",40,IF(G31="En proceso",30,20))</f>
        <v>30</v>
      </c>
      <c r="K31" s="90">
        <v>0.23455999999999999</v>
      </c>
      <c r="L31" s="90">
        <f t="shared" si="3"/>
        <v>30.234559999999998</v>
      </c>
    </row>
    <row r="32" spans="1:32" s="49" customFormat="1" ht="69" customHeight="1" x14ac:dyDescent="0.25">
      <c r="A32" s="89" t="str">
        <f>3&amp;E32</f>
        <v>3a</v>
      </c>
      <c r="B32" s="256" t="s">
        <v>67</v>
      </c>
      <c r="C32" s="256" t="s">
        <v>61</v>
      </c>
      <c r="D32" s="257" t="s">
        <v>68</v>
      </c>
      <c r="E32" s="142" t="s">
        <v>34</v>
      </c>
      <c r="F32" s="139" t="s">
        <v>69</v>
      </c>
      <c r="G32" s="157" t="s">
        <v>39</v>
      </c>
      <c r="H32" s="158" t="s">
        <v>208</v>
      </c>
      <c r="I32" s="159" t="str">
        <f t="shared" si="2"/>
        <v>Mantenimiento del control</v>
      </c>
      <c r="J32" s="90">
        <f t="shared" ref="J32:J37" si="5">+IF(G32="Si",40,IF(G32="En proceso",30,20))</f>
        <v>40</v>
      </c>
      <c r="K32" s="92">
        <v>0.234567</v>
      </c>
      <c r="L32" s="90">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73.5" customHeight="1" x14ac:dyDescent="0.25">
      <c r="A33" s="89" t="str">
        <f t="shared" ref="A33:A34" si="7">3&amp;E33</f>
        <v>3b</v>
      </c>
      <c r="B33" s="256"/>
      <c r="C33" s="256"/>
      <c r="D33" s="257"/>
      <c r="E33" s="142" t="s">
        <v>37</v>
      </c>
      <c r="F33" s="139" t="s">
        <v>70</v>
      </c>
      <c r="G33" s="157" t="s">
        <v>39</v>
      </c>
      <c r="H33" s="158" t="s">
        <v>209</v>
      </c>
      <c r="I33" s="159" t="str">
        <f t="shared" si="2"/>
        <v>Mantenimiento del control</v>
      </c>
      <c r="J33" s="90">
        <f t="shared" si="5"/>
        <v>40</v>
      </c>
      <c r="K33" s="92">
        <v>0.23456779999999999</v>
      </c>
      <c r="L33" s="90">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80.25" customHeight="1" thickBot="1" x14ac:dyDescent="0.3">
      <c r="A34" s="89" t="str">
        <f t="shared" si="7"/>
        <v>3c</v>
      </c>
      <c r="B34" s="256"/>
      <c r="C34" s="256"/>
      <c r="D34" s="257"/>
      <c r="E34" s="142" t="s">
        <v>40</v>
      </c>
      <c r="F34" s="139" t="s">
        <v>71</v>
      </c>
      <c r="G34" s="157" t="s">
        <v>39</v>
      </c>
      <c r="H34" s="158" t="s">
        <v>210</v>
      </c>
      <c r="I34" s="159" t="str">
        <f t="shared" si="2"/>
        <v>Mantenimiento del control</v>
      </c>
      <c r="J34" s="90">
        <f t="shared" si="5"/>
        <v>40</v>
      </c>
      <c r="K34" s="92">
        <v>0.23456789</v>
      </c>
      <c r="L34" s="90">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89" t="str">
        <f>4&amp;E35</f>
        <v>4a</v>
      </c>
      <c r="B35" s="235" t="s">
        <v>72</v>
      </c>
      <c r="C35" s="245" t="s">
        <v>61</v>
      </c>
      <c r="D35" s="238" t="s">
        <v>73</v>
      </c>
      <c r="E35" s="135" t="s">
        <v>34</v>
      </c>
      <c r="F35" s="136" t="s">
        <v>74</v>
      </c>
      <c r="G35" s="151" t="s">
        <v>39</v>
      </c>
      <c r="H35" s="152" t="s">
        <v>211</v>
      </c>
      <c r="I35" s="153" t="str">
        <f t="shared" si="2"/>
        <v>Mantenimiento del control</v>
      </c>
      <c r="J35" s="90">
        <f t="shared" si="5"/>
        <v>40</v>
      </c>
      <c r="K35" s="92">
        <v>0.23456789119999999</v>
      </c>
      <c r="L35" s="90">
        <f t="shared" si="6"/>
        <v>40.234567891200001</v>
      </c>
      <c r="M35" s="48"/>
      <c r="N35" s="48"/>
      <c r="O35" s="48"/>
      <c r="P35" s="48"/>
      <c r="Q35" s="48"/>
    </row>
    <row r="36" spans="1:32" s="49" customFormat="1" ht="57.75" customHeight="1" x14ac:dyDescent="0.25">
      <c r="A36" s="89" t="str">
        <f t="shared" ref="A36:A37" si="8">4&amp;E36</f>
        <v>4b</v>
      </c>
      <c r="B36" s="235"/>
      <c r="C36" s="245"/>
      <c r="D36" s="238"/>
      <c r="E36" s="137" t="s">
        <v>37</v>
      </c>
      <c r="F36" s="139" t="s">
        <v>75</v>
      </c>
      <c r="G36" s="157" t="s">
        <v>39</v>
      </c>
      <c r="H36" s="158" t="s">
        <v>212</v>
      </c>
      <c r="I36" s="159" t="str">
        <f t="shared" si="2"/>
        <v>Mantenimiento del control</v>
      </c>
      <c r="J36" s="90">
        <f t="shared" si="5"/>
        <v>40</v>
      </c>
      <c r="K36" s="92">
        <v>0.23456789122999999</v>
      </c>
      <c r="L36" s="90">
        <f t="shared" si="6"/>
        <v>40.23456789123</v>
      </c>
      <c r="M36" s="48"/>
      <c r="N36" s="48"/>
      <c r="O36" s="48"/>
      <c r="P36" s="48"/>
      <c r="Q36" s="48"/>
    </row>
    <row r="37" spans="1:32" s="49" customFormat="1" ht="49.5" customHeight="1" thickBot="1" x14ac:dyDescent="0.3">
      <c r="A37" s="89" t="str">
        <f t="shared" si="8"/>
        <v>4c</v>
      </c>
      <c r="B37" s="235"/>
      <c r="C37" s="245"/>
      <c r="D37" s="238"/>
      <c r="E37" s="137" t="s">
        <v>40</v>
      </c>
      <c r="F37" s="139" t="s">
        <v>77</v>
      </c>
      <c r="G37" s="157" t="s">
        <v>36</v>
      </c>
      <c r="H37" s="158" t="s">
        <v>213</v>
      </c>
      <c r="I37" s="159" t="str">
        <f t="shared" si="2"/>
        <v>Deficiencia de control</v>
      </c>
      <c r="J37" s="90">
        <f t="shared" si="5"/>
        <v>20</v>
      </c>
      <c r="K37" s="92">
        <v>0.23456789123399999</v>
      </c>
      <c r="L37" s="90">
        <f t="shared" si="6"/>
        <v>20.234567891234001</v>
      </c>
      <c r="M37" s="48"/>
      <c r="N37" s="48"/>
      <c r="O37" s="48"/>
      <c r="P37" s="48"/>
      <c r="Q37" s="48"/>
    </row>
    <row r="38" spans="1:32" s="49" customFormat="1" ht="96.75" customHeight="1" x14ac:dyDescent="0.25">
      <c r="A38" s="89" t="str">
        <f>5&amp;E38</f>
        <v>5a</v>
      </c>
      <c r="B38" s="258" t="s">
        <v>78</v>
      </c>
      <c r="C38" s="247" t="s">
        <v>79</v>
      </c>
      <c r="D38" s="261" t="s">
        <v>80</v>
      </c>
      <c r="E38" s="135" t="s">
        <v>34</v>
      </c>
      <c r="F38" s="143" t="s">
        <v>81</v>
      </c>
      <c r="G38" s="163" t="s">
        <v>39</v>
      </c>
      <c r="H38" s="164" t="s">
        <v>214</v>
      </c>
      <c r="I38" s="165" t="str">
        <f t="shared" si="2"/>
        <v>Mantenimiento del control</v>
      </c>
      <c r="J38" s="90">
        <f>+IF(G38="Si",60,IF(G38="En proceso",50,40))</f>
        <v>60</v>
      </c>
      <c r="K38" s="90">
        <v>0.31</v>
      </c>
      <c r="L38" s="90">
        <f t="shared" si="3"/>
        <v>60.31</v>
      </c>
    </row>
    <row r="39" spans="1:32" s="49" customFormat="1" ht="75" x14ac:dyDescent="0.25">
      <c r="A39" s="89" t="str">
        <f t="shared" ref="A39:A42" si="9">5&amp;E39</f>
        <v>5b</v>
      </c>
      <c r="B39" s="259"/>
      <c r="C39" s="248"/>
      <c r="D39" s="262"/>
      <c r="E39" s="137" t="s">
        <v>37</v>
      </c>
      <c r="F39" s="139" t="s">
        <v>82</v>
      </c>
      <c r="G39" s="157" t="s">
        <v>39</v>
      </c>
      <c r="H39" s="158" t="s">
        <v>215</v>
      </c>
      <c r="I39" s="159" t="str">
        <f t="shared" si="2"/>
        <v>Mantenimiento del control</v>
      </c>
      <c r="J39" s="90">
        <f>+IF(G39="Si",60,IF(G39="En proceso",50,40))</f>
        <v>60</v>
      </c>
      <c r="K39" s="90">
        <v>0.32300000000000001</v>
      </c>
      <c r="L39" s="90">
        <f t="shared" si="3"/>
        <v>60.323</v>
      </c>
    </row>
    <row r="40" spans="1:32" s="49" customFormat="1" ht="98.25" customHeight="1" x14ac:dyDescent="0.25">
      <c r="A40" s="89" t="str">
        <f t="shared" si="9"/>
        <v>5c</v>
      </c>
      <c r="B40" s="259"/>
      <c r="C40" s="248"/>
      <c r="D40" s="262"/>
      <c r="E40" s="137" t="s">
        <v>40</v>
      </c>
      <c r="F40" s="139" t="s">
        <v>83</v>
      </c>
      <c r="G40" s="157" t="s">
        <v>39</v>
      </c>
      <c r="H40" s="158" t="s">
        <v>216</v>
      </c>
      <c r="I40" s="159" t="str">
        <f t="shared" si="2"/>
        <v>Mantenimiento del control</v>
      </c>
      <c r="J40" s="90">
        <f>+IF(G40="Si",60,IF(G40="En proceso",50,40))</f>
        <v>60</v>
      </c>
      <c r="K40" s="90">
        <v>0.32400000000000001</v>
      </c>
      <c r="L40" s="90">
        <f t="shared" si="3"/>
        <v>60.323999999999998</v>
      </c>
    </row>
    <row r="41" spans="1:32" s="49" customFormat="1" ht="144.75" customHeight="1" x14ac:dyDescent="0.25">
      <c r="A41" s="89" t="str">
        <f t="shared" si="9"/>
        <v>5d</v>
      </c>
      <c r="B41" s="259"/>
      <c r="C41" s="248"/>
      <c r="D41" s="262"/>
      <c r="E41" s="137" t="s">
        <v>42</v>
      </c>
      <c r="F41" s="139" t="s">
        <v>84</v>
      </c>
      <c r="G41" s="157" t="s">
        <v>39</v>
      </c>
      <c r="H41" s="158" t="s">
        <v>217</v>
      </c>
      <c r="I41" s="159" t="str">
        <f t="shared" si="2"/>
        <v>Mantenimiento del control</v>
      </c>
      <c r="J41" s="90">
        <f>+IF(G41="Si",60,IF(G41="En proceso",50,40))</f>
        <v>60</v>
      </c>
      <c r="K41" s="90">
        <v>0.32500000000000001</v>
      </c>
      <c r="L41" s="90">
        <f t="shared" si="3"/>
        <v>60.325000000000003</v>
      </c>
    </row>
    <row r="42" spans="1:32" s="49" customFormat="1" ht="72" customHeight="1" thickBot="1" x14ac:dyDescent="0.3">
      <c r="A42" s="89" t="str">
        <f t="shared" si="9"/>
        <v>5e</v>
      </c>
      <c r="B42" s="260"/>
      <c r="C42" s="249"/>
      <c r="D42" s="263"/>
      <c r="E42" s="140" t="s">
        <v>44</v>
      </c>
      <c r="F42" s="141" t="s">
        <v>85</v>
      </c>
      <c r="G42" s="160" t="s">
        <v>39</v>
      </c>
      <c r="H42" s="161" t="s">
        <v>218</v>
      </c>
      <c r="I42" s="162" t="str">
        <f t="shared" si="2"/>
        <v>Mantenimiento del control</v>
      </c>
      <c r="J42" s="90">
        <f>+IF(G42="Si",60,IF(G42="En proceso",50,40))</f>
        <v>60</v>
      </c>
      <c r="K42" s="90">
        <v>0.32600000000000001</v>
      </c>
      <c r="L42" s="90">
        <f t="shared" si="3"/>
        <v>60.326000000000001</v>
      </c>
    </row>
    <row r="43" spans="1:32" s="49" customFormat="1" ht="40.5" customHeight="1" x14ac:dyDescent="0.25">
      <c r="A43" s="89" t="str">
        <f>6&amp;E43</f>
        <v>6a</v>
      </c>
      <c r="B43" s="219" t="s">
        <v>86</v>
      </c>
      <c r="C43" s="250" t="s">
        <v>87</v>
      </c>
      <c r="D43" s="216" t="s">
        <v>88</v>
      </c>
      <c r="E43" s="135" t="s">
        <v>34</v>
      </c>
      <c r="F43" s="136" t="s">
        <v>89</v>
      </c>
      <c r="G43" s="151" t="s">
        <v>39</v>
      </c>
      <c r="H43" s="152" t="s">
        <v>219</v>
      </c>
      <c r="I43" s="153" t="str">
        <f t="shared" si="2"/>
        <v>Mantenimiento del control</v>
      </c>
      <c r="J43" s="90">
        <f t="shared" ref="J43:J49" si="10">+IF(G43="Si",80,IF(G43="En proceso",70,60))</f>
        <v>80</v>
      </c>
      <c r="K43" s="90">
        <v>0.41199999999999998</v>
      </c>
      <c r="L43" s="90">
        <f t="shared" si="3"/>
        <v>80.412000000000006</v>
      </c>
    </row>
    <row r="44" spans="1:32" s="49" customFormat="1" ht="33" customHeight="1" x14ac:dyDescent="0.25">
      <c r="A44" s="89" t="str">
        <f t="shared" ref="A44:A49" si="11">6&amp;E44</f>
        <v>6b</v>
      </c>
      <c r="B44" s="220"/>
      <c r="C44" s="251"/>
      <c r="D44" s="217"/>
      <c r="E44" s="137" t="s">
        <v>37</v>
      </c>
      <c r="F44" s="139" t="s">
        <v>90</v>
      </c>
      <c r="G44" s="157" t="s">
        <v>39</v>
      </c>
      <c r="H44" s="158" t="s">
        <v>220</v>
      </c>
      <c r="I44" s="159" t="str">
        <f t="shared" si="2"/>
        <v>Mantenimiento del control</v>
      </c>
      <c r="J44" s="90">
        <f t="shared" si="10"/>
        <v>80</v>
      </c>
      <c r="K44" s="90">
        <v>0.4123</v>
      </c>
      <c r="L44" s="90">
        <f t="shared" si="3"/>
        <v>80.412300000000002</v>
      </c>
    </row>
    <row r="45" spans="1:32" s="49" customFormat="1" ht="74.25" customHeight="1" x14ac:dyDescent="0.25">
      <c r="A45" s="89" t="str">
        <f t="shared" si="11"/>
        <v>6c</v>
      </c>
      <c r="B45" s="220"/>
      <c r="C45" s="251"/>
      <c r="D45" s="217"/>
      <c r="E45" s="137" t="s">
        <v>40</v>
      </c>
      <c r="F45" s="139" t="s">
        <v>91</v>
      </c>
      <c r="G45" s="157" t="s">
        <v>39</v>
      </c>
      <c r="H45" s="158" t="s">
        <v>221</v>
      </c>
      <c r="I45" s="159" t="str">
        <f t="shared" si="2"/>
        <v>Mantenimiento del control</v>
      </c>
      <c r="J45" s="90">
        <f t="shared" si="10"/>
        <v>80</v>
      </c>
      <c r="K45" s="90">
        <v>0.41233999999999998</v>
      </c>
      <c r="L45" s="90">
        <f t="shared" si="3"/>
        <v>80.41234</v>
      </c>
    </row>
    <row r="46" spans="1:32" s="49" customFormat="1" ht="45" x14ac:dyDescent="0.25">
      <c r="A46" s="89" t="str">
        <f t="shared" si="11"/>
        <v>6d</v>
      </c>
      <c r="B46" s="220"/>
      <c r="C46" s="251"/>
      <c r="D46" s="217"/>
      <c r="E46" s="137" t="s">
        <v>42</v>
      </c>
      <c r="F46" s="139" t="s">
        <v>92</v>
      </c>
      <c r="G46" s="157" t="s">
        <v>39</v>
      </c>
      <c r="H46" s="158" t="s">
        <v>222</v>
      </c>
      <c r="I46" s="159" t="str">
        <f t="shared" si="2"/>
        <v>Mantenimiento del control</v>
      </c>
      <c r="J46" s="90">
        <f t="shared" si="10"/>
        <v>80</v>
      </c>
      <c r="K46" s="90">
        <v>0.41234500000000002</v>
      </c>
      <c r="L46" s="90">
        <f t="shared" si="3"/>
        <v>80.412345000000002</v>
      </c>
    </row>
    <row r="47" spans="1:32" s="49" customFormat="1" ht="135" x14ac:dyDescent="0.25">
      <c r="A47" s="89" t="str">
        <f t="shared" si="11"/>
        <v>6e</v>
      </c>
      <c r="B47" s="220"/>
      <c r="C47" s="251"/>
      <c r="D47" s="217"/>
      <c r="E47" s="137" t="s">
        <v>44</v>
      </c>
      <c r="F47" s="139" t="s">
        <v>93</v>
      </c>
      <c r="G47" s="157" t="s">
        <v>39</v>
      </c>
      <c r="H47" s="158" t="s">
        <v>223</v>
      </c>
      <c r="I47" s="159" t="str">
        <f t="shared" si="2"/>
        <v>Mantenimiento del control</v>
      </c>
      <c r="J47" s="90">
        <f t="shared" si="10"/>
        <v>80</v>
      </c>
      <c r="K47" s="90">
        <v>0.41234559999999998</v>
      </c>
      <c r="L47" s="90">
        <f t="shared" si="3"/>
        <v>80.412345599999995</v>
      </c>
    </row>
    <row r="48" spans="1:32" s="49" customFormat="1" ht="88.5" customHeight="1" x14ac:dyDescent="0.25">
      <c r="A48" s="89" t="str">
        <f t="shared" si="11"/>
        <v>6f</v>
      </c>
      <c r="B48" s="220"/>
      <c r="C48" s="251"/>
      <c r="D48" s="217"/>
      <c r="E48" s="137" t="s">
        <v>46</v>
      </c>
      <c r="F48" s="139" t="s">
        <v>94</v>
      </c>
      <c r="G48" s="157" t="s">
        <v>39</v>
      </c>
      <c r="H48" s="158" t="s">
        <v>224</v>
      </c>
      <c r="I48" s="159" t="str">
        <f t="shared" si="2"/>
        <v>Mantenimiento del control</v>
      </c>
      <c r="J48" s="90">
        <f t="shared" si="10"/>
        <v>80</v>
      </c>
      <c r="K48" s="90">
        <v>0.41234567</v>
      </c>
      <c r="L48" s="90">
        <f t="shared" si="3"/>
        <v>80.412345669999993</v>
      </c>
    </row>
    <row r="49" spans="1:17" s="49" customFormat="1" ht="60.75" thickBot="1" x14ac:dyDescent="0.3">
      <c r="A49" s="89" t="str">
        <f t="shared" si="11"/>
        <v>6g</v>
      </c>
      <c r="B49" s="221"/>
      <c r="C49" s="252"/>
      <c r="D49" s="218"/>
      <c r="E49" s="140" t="s">
        <v>48</v>
      </c>
      <c r="F49" s="141" t="s">
        <v>95</v>
      </c>
      <c r="G49" s="160" t="s">
        <v>76</v>
      </c>
      <c r="H49" s="161"/>
      <c r="I49" s="162" t="str">
        <f t="shared" si="2"/>
        <v>Oportunidad de mejora</v>
      </c>
      <c r="J49" s="90">
        <f t="shared" si="10"/>
        <v>70</v>
      </c>
      <c r="K49" s="90">
        <v>0.41234567799999999</v>
      </c>
      <c r="L49" s="90">
        <f t="shared" si="3"/>
        <v>70.412345677999994</v>
      </c>
    </row>
    <row r="50" spans="1:17" s="49" customFormat="1" ht="54.75" customHeight="1" x14ac:dyDescent="0.25">
      <c r="A50" s="89" t="str">
        <f>7&amp;E50</f>
        <v>7a</v>
      </c>
      <c r="B50" s="225" t="s">
        <v>96</v>
      </c>
      <c r="C50" s="253" t="s">
        <v>97</v>
      </c>
      <c r="D50" s="222" t="s">
        <v>98</v>
      </c>
      <c r="E50" s="135" t="s">
        <v>34</v>
      </c>
      <c r="F50" s="136" t="s">
        <v>99</v>
      </c>
      <c r="G50" s="151" t="s">
        <v>39</v>
      </c>
      <c r="H50" s="152" t="s">
        <v>226</v>
      </c>
      <c r="I50" s="153" t="str">
        <f t="shared" si="2"/>
        <v>Mantenimiento del control</v>
      </c>
      <c r="J50" s="90">
        <f>+IF(G50="Si",120,IF(G50="En proceso",100,80))</f>
        <v>120</v>
      </c>
      <c r="K50" s="90">
        <v>0.85099999999999998</v>
      </c>
      <c r="L50" s="90">
        <f t="shared" si="3"/>
        <v>120.851</v>
      </c>
    </row>
    <row r="51" spans="1:17" s="49" customFormat="1" ht="120" x14ac:dyDescent="0.25">
      <c r="A51" s="89" t="str">
        <f t="shared" ref="A51:A53" si="12">7&amp;E51</f>
        <v>7d</v>
      </c>
      <c r="B51" s="226"/>
      <c r="C51" s="254"/>
      <c r="D51" s="223"/>
      <c r="E51" s="137" t="s">
        <v>42</v>
      </c>
      <c r="F51" s="139" t="s">
        <v>100</v>
      </c>
      <c r="G51" s="157" t="s">
        <v>39</v>
      </c>
      <c r="H51" s="158" t="s">
        <v>225</v>
      </c>
      <c r="I51" s="159" t="str">
        <f t="shared" si="2"/>
        <v>Mantenimiento del control</v>
      </c>
      <c r="J51" s="90">
        <f t="shared" ref="J51:J59" si="13">+IF(G51="Si",120,IF(G51="En proceso",100,80))</f>
        <v>120</v>
      </c>
      <c r="K51" s="90">
        <v>0.85119999999999996</v>
      </c>
      <c r="L51" s="90">
        <f t="shared" si="3"/>
        <v>120.85120000000001</v>
      </c>
    </row>
    <row r="52" spans="1:17" s="49" customFormat="1" ht="70.5" customHeight="1" x14ac:dyDescent="0.25">
      <c r="A52" s="89" t="str">
        <f t="shared" si="12"/>
        <v>7f</v>
      </c>
      <c r="B52" s="226"/>
      <c r="C52" s="254"/>
      <c r="D52" s="223"/>
      <c r="E52" s="137" t="s">
        <v>46</v>
      </c>
      <c r="F52" s="139" t="s">
        <v>101</v>
      </c>
      <c r="G52" s="157" t="s">
        <v>39</v>
      </c>
      <c r="H52" s="158" t="s">
        <v>227</v>
      </c>
      <c r="I52" s="159" t="str">
        <f t="shared" si="2"/>
        <v>Mantenimiento del control</v>
      </c>
      <c r="J52" s="90">
        <f t="shared" si="13"/>
        <v>120</v>
      </c>
      <c r="K52" s="90">
        <v>0.85123000000000004</v>
      </c>
      <c r="L52" s="90">
        <f t="shared" si="3"/>
        <v>120.85123</v>
      </c>
    </row>
    <row r="53" spans="1:17" s="49" customFormat="1" ht="60.75" thickBot="1" x14ac:dyDescent="0.3">
      <c r="A53" s="89" t="str">
        <f t="shared" si="12"/>
        <v>7g</v>
      </c>
      <c r="B53" s="227"/>
      <c r="C53" s="255"/>
      <c r="D53" s="224"/>
      <c r="E53" s="140" t="s">
        <v>48</v>
      </c>
      <c r="F53" s="141" t="s">
        <v>102</v>
      </c>
      <c r="G53" s="160" t="s">
        <v>39</v>
      </c>
      <c r="H53" s="161" t="s">
        <v>228</v>
      </c>
      <c r="I53" s="162" t="str">
        <f t="shared" si="2"/>
        <v>Mantenimiento del control</v>
      </c>
      <c r="J53" s="90">
        <f t="shared" si="13"/>
        <v>120</v>
      </c>
      <c r="K53" s="90">
        <v>0.85123400000000005</v>
      </c>
      <c r="L53" s="90">
        <f t="shared" si="3"/>
        <v>120.85123400000001</v>
      </c>
    </row>
    <row r="54" spans="1:17" s="49" customFormat="1" ht="102.75" customHeight="1" thickBot="1" x14ac:dyDescent="0.3">
      <c r="A54" s="89" t="str">
        <f>8&amp;E54</f>
        <v>8h</v>
      </c>
      <c r="B54" s="144" t="s">
        <v>103</v>
      </c>
      <c r="C54" s="145" t="s">
        <v>97</v>
      </c>
      <c r="D54" s="146" t="s">
        <v>104</v>
      </c>
      <c r="E54" s="135" t="s">
        <v>50</v>
      </c>
      <c r="F54" s="136" t="s">
        <v>105</v>
      </c>
      <c r="G54" s="151" t="s">
        <v>36</v>
      </c>
      <c r="H54" s="152" t="s">
        <v>229</v>
      </c>
      <c r="I54" s="153" t="str">
        <f t="shared" si="2"/>
        <v>Deficiencia de control</v>
      </c>
      <c r="J54" s="90">
        <f t="shared" si="13"/>
        <v>80</v>
      </c>
      <c r="K54" s="90">
        <v>0.85123450000000001</v>
      </c>
      <c r="L54" s="90">
        <f t="shared" si="3"/>
        <v>80.851234500000004</v>
      </c>
    </row>
    <row r="55" spans="1:17" s="49" customFormat="1" ht="54.75" customHeight="1" x14ac:dyDescent="0.25">
      <c r="A55" s="89" t="str">
        <f>9&amp;E55</f>
        <v>9a</v>
      </c>
      <c r="B55" s="225" t="s">
        <v>106</v>
      </c>
      <c r="C55" s="253" t="s">
        <v>97</v>
      </c>
      <c r="D55" s="222" t="s">
        <v>107</v>
      </c>
      <c r="E55" s="135" t="s">
        <v>34</v>
      </c>
      <c r="F55" s="136" t="s">
        <v>108</v>
      </c>
      <c r="G55" s="151" t="s">
        <v>39</v>
      </c>
      <c r="H55" s="152" t="s">
        <v>230</v>
      </c>
      <c r="I55" s="153" t="str">
        <f t="shared" si="2"/>
        <v>Mantenimiento del control</v>
      </c>
      <c r="J55" s="90">
        <f t="shared" si="13"/>
        <v>120</v>
      </c>
      <c r="K55" s="92">
        <v>0.85123455999999997</v>
      </c>
      <c r="L55" s="90">
        <f t="shared" si="3"/>
        <v>120.85123455999999</v>
      </c>
      <c r="M55" s="48"/>
      <c r="N55" s="48"/>
      <c r="O55" s="48"/>
      <c r="P55" s="48"/>
      <c r="Q55" s="48"/>
    </row>
    <row r="56" spans="1:17" s="49" customFormat="1" ht="55.5" customHeight="1" x14ac:dyDescent="0.25">
      <c r="A56" s="89" t="str">
        <f t="shared" ref="A56:A59" si="14">9&amp;E56</f>
        <v>9b</v>
      </c>
      <c r="B56" s="226"/>
      <c r="C56" s="254"/>
      <c r="D56" s="223"/>
      <c r="E56" s="137" t="s">
        <v>37</v>
      </c>
      <c r="F56" s="139" t="s">
        <v>109</v>
      </c>
      <c r="G56" s="157" t="s">
        <v>39</v>
      </c>
      <c r="H56" s="158" t="s">
        <v>231</v>
      </c>
      <c r="I56" s="159" t="str">
        <f t="shared" si="2"/>
        <v>Mantenimiento del control</v>
      </c>
      <c r="J56" s="90">
        <f t="shared" si="13"/>
        <v>120</v>
      </c>
      <c r="K56" s="92">
        <v>0.851234567</v>
      </c>
      <c r="L56" s="90">
        <f t="shared" si="3"/>
        <v>120.85123456700001</v>
      </c>
      <c r="M56" s="48"/>
      <c r="N56" s="48"/>
      <c r="O56" s="48"/>
      <c r="P56" s="48"/>
      <c r="Q56" s="48"/>
    </row>
    <row r="57" spans="1:17" s="49" customFormat="1" ht="77.25" customHeight="1" x14ac:dyDescent="0.25">
      <c r="A57" s="89" t="str">
        <f t="shared" si="14"/>
        <v>9c</v>
      </c>
      <c r="B57" s="226"/>
      <c r="C57" s="254"/>
      <c r="D57" s="223"/>
      <c r="E57" s="137" t="s">
        <v>40</v>
      </c>
      <c r="F57" s="139" t="s">
        <v>110</v>
      </c>
      <c r="G57" s="157" t="s">
        <v>39</v>
      </c>
      <c r="H57" s="158" t="s">
        <v>232</v>
      </c>
      <c r="I57" s="159" t="str">
        <f t="shared" si="2"/>
        <v>Mantenimiento del control</v>
      </c>
      <c r="J57" s="90">
        <f t="shared" si="13"/>
        <v>120</v>
      </c>
      <c r="K57" s="92">
        <v>0.85123456779999995</v>
      </c>
      <c r="L57" s="90">
        <f t="shared" si="3"/>
        <v>120.85123456780001</v>
      </c>
      <c r="M57" s="48"/>
      <c r="N57" s="48"/>
      <c r="O57" s="48"/>
      <c r="P57" s="48"/>
      <c r="Q57" s="48"/>
    </row>
    <row r="58" spans="1:17" s="49" customFormat="1" ht="77.25" customHeight="1" x14ac:dyDescent="0.25">
      <c r="A58" s="89" t="str">
        <f t="shared" si="14"/>
        <v>9d</v>
      </c>
      <c r="B58" s="226"/>
      <c r="C58" s="254"/>
      <c r="D58" s="223"/>
      <c r="E58" s="137" t="s">
        <v>42</v>
      </c>
      <c r="F58" s="139" t="s">
        <v>111</v>
      </c>
      <c r="G58" s="157" t="s">
        <v>39</v>
      </c>
      <c r="H58" s="158" t="s">
        <v>233</v>
      </c>
      <c r="I58" s="159" t="str">
        <f t="shared" si="2"/>
        <v>Mantenimiento del control</v>
      </c>
      <c r="J58" s="90">
        <f t="shared" si="13"/>
        <v>120</v>
      </c>
      <c r="K58" s="92">
        <v>0.85123456788999996</v>
      </c>
      <c r="L58" s="90">
        <f t="shared" si="3"/>
        <v>120.85123456789</v>
      </c>
      <c r="M58" s="48"/>
      <c r="N58" s="48"/>
      <c r="O58" s="48"/>
      <c r="P58" s="48"/>
      <c r="Q58" s="48"/>
    </row>
    <row r="59" spans="1:17" s="49" customFormat="1" ht="77.25" customHeight="1" thickBot="1" x14ac:dyDescent="0.3">
      <c r="A59" s="89" t="str">
        <f t="shared" si="14"/>
        <v>9e</v>
      </c>
      <c r="B59" s="227"/>
      <c r="C59" s="254"/>
      <c r="D59" s="240"/>
      <c r="E59" s="140" t="s">
        <v>44</v>
      </c>
      <c r="F59" s="141" t="s">
        <v>112</v>
      </c>
      <c r="G59" s="160" t="s">
        <v>39</v>
      </c>
      <c r="H59" s="161" t="s">
        <v>234</v>
      </c>
      <c r="I59" s="162" t="str">
        <f t="shared" si="2"/>
        <v>Mantenimiento del control</v>
      </c>
      <c r="J59" s="90">
        <f t="shared" si="13"/>
        <v>120</v>
      </c>
      <c r="K59" s="92">
        <v>0.85123456789100005</v>
      </c>
      <c r="L59" s="90">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C25" zoomScale="80" zoomScaleNormal="80" workbookViewId="0">
      <selection activeCell="I28" sqref="I28"/>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4" t="s">
        <v>113</v>
      </c>
      <c r="D7" s="265"/>
      <c r="E7" s="265"/>
      <c r="F7" s="265"/>
      <c r="G7" s="265"/>
      <c r="H7" s="265"/>
      <c r="I7" s="265"/>
      <c r="J7" s="265"/>
      <c r="K7" s="266"/>
    </row>
    <row r="8" spans="1:11" s="1" customFormat="1" ht="15.75" thickBot="1" x14ac:dyDescent="0.3">
      <c r="C8" s="39"/>
      <c r="D8" s="39"/>
      <c r="E8" s="40"/>
      <c r="F8" s="40"/>
      <c r="G8" s="40"/>
      <c r="H8" s="40"/>
      <c r="I8" s="50"/>
      <c r="J8" s="40"/>
      <c r="K8" s="40"/>
    </row>
    <row r="9" spans="1:11" ht="21" thickBot="1" x14ac:dyDescent="0.3">
      <c r="A9" s="1"/>
      <c r="B9" s="1"/>
      <c r="C9" s="174" t="s">
        <v>15</v>
      </c>
      <c r="D9" s="175"/>
      <c r="E9" s="175" t="s">
        <v>16</v>
      </c>
      <c r="F9" s="186"/>
      <c r="G9" s="40"/>
      <c r="H9" s="40"/>
      <c r="I9" s="50"/>
      <c r="J9" s="40"/>
      <c r="K9" s="40"/>
    </row>
    <row r="10" spans="1:11" ht="54" customHeight="1" x14ac:dyDescent="0.25">
      <c r="A10" s="1"/>
      <c r="B10" s="1"/>
      <c r="C10" s="187" t="s">
        <v>17</v>
      </c>
      <c r="D10" s="188"/>
      <c r="E10" s="189" t="s">
        <v>18</v>
      </c>
      <c r="F10" s="190"/>
      <c r="G10" s="41"/>
      <c r="H10" s="42">
        <v>1</v>
      </c>
      <c r="I10" s="50"/>
      <c r="J10" s="40"/>
      <c r="K10" s="40"/>
    </row>
    <row r="11" spans="1:11" ht="46.5" customHeight="1" x14ac:dyDescent="0.25">
      <c r="A11" s="1"/>
      <c r="B11" s="1"/>
      <c r="C11" s="176" t="s">
        <v>19</v>
      </c>
      <c r="D11" s="177"/>
      <c r="E11" s="178" t="s">
        <v>114</v>
      </c>
      <c r="F11" s="179"/>
      <c r="G11" s="43" t="s">
        <v>115</v>
      </c>
      <c r="H11" s="42">
        <v>0.75</v>
      </c>
      <c r="I11" s="50"/>
      <c r="J11" s="40"/>
      <c r="K11" s="40"/>
    </row>
    <row r="12" spans="1:11" ht="70.5" customHeight="1" thickBot="1" x14ac:dyDescent="0.3">
      <c r="A12" s="1"/>
      <c r="B12" s="1"/>
      <c r="C12" s="180" t="s">
        <v>21</v>
      </c>
      <c r="D12" s="181"/>
      <c r="E12" s="182" t="s">
        <v>116</v>
      </c>
      <c r="F12" s="183"/>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2" t="s">
        <v>117</v>
      </c>
      <c r="D17" s="274" t="s">
        <v>118</v>
      </c>
      <c r="E17" s="275"/>
      <c r="F17" s="276" t="s">
        <v>119</v>
      </c>
      <c r="G17" s="278" t="s">
        <v>120</v>
      </c>
      <c r="H17" s="38"/>
      <c r="I17" s="267" t="s">
        <v>121</v>
      </c>
      <c r="J17" s="267" t="s">
        <v>122</v>
      </c>
    </row>
    <row r="18" spans="1:10" ht="36" customHeight="1" thickBot="1" x14ac:dyDescent="0.3">
      <c r="A18" s="1"/>
      <c r="B18" s="1"/>
      <c r="C18" s="273"/>
      <c r="D18" s="93" t="s">
        <v>123</v>
      </c>
      <c r="E18" s="94" t="s">
        <v>27</v>
      </c>
      <c r="F18" s="277"/>
      <c r="G18" s="279"/>
      <c r="H18" s="38"/>
      <c r="I18" s="268"/>
      <c r="J18" s="268"/>
    </row>
    <row r="19" spans="1:10" ht="65.25" customHeight="1" x14ac:dyDescent="0.25">
      <c r="A19" s="1"/>
      <c r="B19" s="1"/>
      <c r="C19" s="112">
        <v>1</v>
      </c>
      <c r="D19" s="269" t="s">
        <v>32</v>
      </c>
      <c r="E19" s="95" t="str">
        <f>+IFERROR(INDEX(Hoja1!$E$2:$E$45,MATCH('Análisis Resultados'!C19,Hoja1!$H$2:$H$45,0)),"")</f>
        <v>La documentación de sus procesos y procedimientos o bien una lista de actividades principales que permitan conocer el estado de su gestión</v>
      </c>
      <c r="F19" s="96" t="str">
        <f>+IFERROR(VLOOKUP(C19,Hoja1!$H$2:$I$45,2,0),"")</f>
        <v>En proceso</v>
      </c>
      <c r="G19" s="97"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13">
        <f>+IF(F19="Si",1,IF(F19="En proceso",0.5,0))</f>
        <v>0.5</v>
      </c>
      <c r="J19" s="282">
        <f>+AVERAGE(I19:I30)</f>
        <v>0.95833333333333337</v>
      </c>
    </row>
    <row r="20" spans="1:10" ht="45" x14ac:dyDescent="0.25">
      <c r="A20" s="1"/>
      <c r="B20" s="1"/>
      <c r="C20" s="112">
        <v>2</v>
      </c>
      <c r="D20" s="270"/>
      <c r="E20" s="98" t="str">
        <f>+IFERROR(INDEX(Hoja1!$E$2:$E$45,MATCH('Análisis Resultados'!C20,Hoja1!$H$2:$H$45,0)),"")</f>
        <v>Documento interno o adopción del MECI actualizado</v>
      </c>
      <c r="F20" s="99" t="str">
        <f>+IFERROR(VLOOKUP(C20,Hoja1!$H$2:$I$45,2,0),"")</f>
        <v>Si</v>
      </c>
      <c r="G20" s="100"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14">
        <f t="shared" ref="I20:I62" si="1">+IF(F20="Si",1,IF(F20="En proceso",0.5,0))</f>
        <v>1</v>
      </c>
      <c r="J20" s="283"/>
    </row>
    <row r="21" spans="1:10" ht="57" x14ac:dyDescent="0.25">
      <c r="A21" s="1"/>
      <c r="B21" s="1"/>
      <c r="C21" s="112">
        <v>3</v>
      </c>
      <c r="D21" s="270"/>
      <c r="E21" s="98" t="str">
        <f>+IFERROR(INDEX(Hoja1!$E$2:$E$45,MATCH('Análisis Resultados'!C21,Hoja1!$H$2:$H$45,0)),"")</f>
        <v>Un documento tal como un código de ética, integridad u otro que formalice los estándares de conducta, los principios institucionales o los valores del servicio público</v>
      </c>
      <c r="F21" s="99" t="str">
        <f>+IFERROR(VLOOKUP(C21,Hoja1!$H$2:$I$45,2,0),"")</f>
        <v>Si</v>
      </c>
      <c r="G21" s="100" t="str">
        <f t="shared" si="0"/>
        <v>Existe requerimiento pero se requiere actividades  dirigidas a su mantenimiento dentro del marco de las lineas de defensa.</v>
      </c>
      <c r="H21" s="18"/>
      <c r="I21" s="114">
        <f t="shared" si="1"/>
        <v>1</v>
      </c>
      <c r="J21" s="283"/>
    </row>
    <row r="22" spans="1:10" ht="56.25" customHeight="1" x14ac:dyDescent="0.25">
      <c r="A22" s="1"/>
      <c r="B22" s="1"/>
      <c r="C22" s="112">
        <v>4</v>
      </c>
      <c r="D22" s="270"/>
      <c r="E22" s="98" t="str">
        <f>+IFERROR(INDEX(Hoja1!$E$2:$E$45,MATCH('Análisis Resultados'!C22,Hoja1!$H$2:$H$45,0)),"")</f>
        <v>Planes, programas y proyectos de acuerdo con las normas que rigen y atendiendo con su propósito fundamental institucional (misión)</v>
      </c>
      <c r="F22" s="99" t="str">
        <f>+IFERROR(VLOOKUP(C22,Hoja1!$H$2:$I$45,2,0),"")</f>
        <v>Si</v>
      </c>
      <c r="G22" s="100" t="str">
        <f t="shared" si="0"/>
        <v>Existe requerimiento pero se requiere actividades  dirigidas a su mantenimiento dentro del marco de las lineas de defensa.</v>
      </c>
      <c r="H22" s="18"/>
      <c r="I22" s="114">
        <f t="shared" si="1"/>
        <v>1</v>
      </c>
      <c r="J22" s="283"/>
    </row>
    <row r="23" spans="1:10" ht="45" x14ac:dyDescent="0.25">
      <c r="A23" s="1"/>
      <c r="B23" s="1"/>
      <c r="C23" s="112">
        <v>5</v>
      </c>
      <c r="D23" s="270"/>
      <c r="E23" s="98" t="str">
        <f>+IFERROR(INDEX(Hoja1!$E$2:$E$45,MATCH('Análisis Resultados'!C23,Hoja1!$H$2:$H$45,0)),"")</f>
        <v>Una estructura organizacional formalizada (organigrama)</v>
      </c>
      <c r="F23" s="99" t="str">
        <f>+IFERROR(VLOOKUP(C23,Hoja1!$H$2:$I$45,2,0),"")</f>
        <v>Si</v>
      </c>
      <c r="G23" s="100" t="str">
        <f t="shared" si="0"/>
        <v>Existe requerimiento pero se requiere actividades  dirigidas a su mantenimiento dentro del marco de las lineas de defensa.</v>
      </c>
      <c r="H23" s="18"/>
      <c r="I23" s="114">
        <f t="shared" si="1"/>
        <v>1</v>
      </c>
      <c r="J23" s="283"/>
    </row>
    <row r="24" spans="1:10" ht="45" x14ac:dyDescent="0.25">
      <c r="A24" s="1"/>
      <c r="B24" s="1"/>
      <c r="C24" s="112">
        <v>6</v>
      </c>
      <c r="D24" s="270"/>
      <c r="E24" s="98" t="str">
        <f>+IFERROR(INDEX(Hoja1!$E$2:$E$45,MATCH('Análisis Resultados'!C24,Hoja1!$H$2:$H$45,0)),"")</f>
        <v>Un manual de funciones que describa los empleos de la entidad</v>
      </c>
      <c r="F24" s="99" t="str">
        <f>+IFERROR(VLOOKUP(C24,Hoja1!$H$2:$I$45,2,0),"")</f>
        <v>Si</v>
      </c>
      <c r="G24" s="100" t="str">
        <f t="shared" si="0"/>
        <v>Existe requerimiento pero se requiere actividades  dirigidas a su mantenimiento dentro del marco de las lineas de defensa.</v>
      </c>
      <c r="H24" s="18"/>
      <c r="I24" s="114">
        <f t="shared" si="1"/>
        <v>1</v>
      </c>
      <c r="J24" s="283"/>
    </row>
    <row r="25" spans="1:10" ht="57" x14ac:dyDescent="0.25">
      <c r="A25" s="1"/>
      <c r="B25" s="1"/>
      <c r="C25" s="112">
        <v>7</v>
      </c>
      <c r="D25" s="270"/>
      <c r="E25" s="98" t="str">
        <f>+IFERROR(INDEX(Hoja1!$E$2:$E$45,MATCH('Análisis Resultados'!C25,Hoja1!$H$2:$H$45,0)),"")</f>
        <v>Vinculación de los servidores públicos de acuerdo con el marco normativo que les rige (carrera administrativa, libre nombramiento y remoción, entre otros)</v>
      </c>
      <c r="F25" s="99" t="str">
        <f>+IFERROR(VLOOKUP(C25,Hoja1!$H$2:$I$45,2,0),"")</f>
        <v>Si</v>
      </c>
      <c r="G25" s="100" t="str">
        <f t="shared" si="0"/>
        <v>Existe requerimiento pero se requiere actividades  dirigidas a su mantenimiento dentro del marco de las lineas de defensa.</v>
      </c>
      <c r="H25" s="18"/>
      <c r="I25" s="114">
        <f t="shared" si="1"/>
        <v>1</v>
      </c>
      <c r="J25" s="283"/>
    </row>
    <row r="26" spans="1:10" ht="45" x14ac:dyDescent="0.25">
      <c r="A26" s="1"/>
      <c r="B26" s="1"/>
      <c r="C26" s="112">
        <v>8</v>
      </c>
      <c r="D26" s="270"/>
      <c r="E26" s="98" t="str">
        <f>+IFERROR(INDEX(Hoja1!$E$2:$E$45,MATCH('Análisis Resultados'!C26,Hoja1!$H$2:$H$45,0)),"")</f>
        <v>Procesos de inducción, capacitación y bienestar social para sus servidores públicos, de manera directa o en asociación con otras entidades municipales</v>
      </c>
      <c r="F26" s="99" t="str">
        <f>+IFERROR(VLOOKUP(C26,Hoja1!$H$2:$I$45,2,0),"")</f>
        <v>Si</v>
      </c>
      <c r="G26" s="100" t="str">
        <f t="shared" si="0"/>
        <v>Existe requerimiento pero se requiere actividades  dirigidas a su mantenimiento dentro del marco de las lineas de defensa.</v>
      </c>
      <c r="H26" s="18"/>
      <c r="I26" s="114">
        <f t="shared" si="1"/>
        <v>1</v>
      </c>
      <c r="J26" s="283"/>
    </row>
    <row r="27" spans="1:10" ht="45" x14ac:dyDescent="0.25">
      <c r="A27" s="1"/>
      <c r="B27" s="1"/>
      <c r="C27" s="112">
        <v>9</v>
      </c>
      <c r="D27" s="270"/>
      <c r="E27" s="98" t="str">
        <f>+IFERROR(INDEX(Hoja1!$E$2:$E$45,MATCH('Análisis Resultados'!C27,Hoja1!$H$2:$H$45,0)),"")</f>
        <v>Evaluación a los servidores públicos de acuerdo con el marco normativo que le rige</v>
      </c>
      <c r="F27" s="99" t="str">
        <f>+IFERROR(VLOOKUP(C27,Hoja1!$H$2:$I$45,2,0),"")</f>
        <v>Si</v>
      </c>
      <c r="G27" s="100" t="str">
        <f t="shared" si="0"/>
        <v>Existe requerimiento pero se requiere actividades  dirigidas a su mantenimiento dentro del marco de las lineas de defensa.</v>
      </c>
      <c r="H27" s="18"/>
      <c r="I27" s="114">
        <f t="shared" si="1"/>
        <v>1</v>
      </c>
      <c r="J27" s="283"/>
    </row>
    <row r="28" spans="1:10" ht="45" x14ac:dyDescent="0.25">
      <c r="A28" s="1"/>
      <c r="B28" s="1"/>
      <c r="C28" s="112">
        <v>10</v>
      </c>
      <c r="D28" s="270"/>
      <c r="E28" s="98" t="str">
        <f>+IFERROR(INDEX(Hoja1!$E$2:$E$45,MATCH('Análisis Resultados'!C28,Hoja1!$H$2:$H$45,0)),"")</f>
        <v>Procesos de desvinculación de servidores de acuerdo con lo previsto en la Constitución Política y las leyes</v>
      </c>
      <c r="F28" s="99" t="str">
        <f>+IFERROR(VLOOKUP(C28,Hoja1!$H$2:$I$45,2,0),"")</f>
        <v>Si</v>
      </c>
      <c r="G28" s="100" t="str">
        <f t="shared" si="0"/>
        <v>Existe requerimiento pero se requiere actividades  dirigidas a su mantenimiento dentro del marco de las lineas de defensa.</v>
      </c>
      <c r="H28" s="18"/>
      <c r="I28" s="114">
        <f t="shared" si="1"/>
        <v>1</v>
      </c>
      <c r="J28" s="283"/>
    </row>
    <row r="29" spans="1:10" ht="45" x14ac:dyDescent="0.25">
      <c r="A29" s="1"/>
      <c r="B29" s="1"/>
      <c r="C29" s="112">
        <v>11</v>
      </c>
      <c r="D29" s="270"/>
      <c r="E29" s="98" t="str">
        <f>+IFERROR(INDEX(Hoja1!$E$2:$E$45,MATCH('Análisis Resultados'!C29,Hoja1!$H$2:$H$45,0)),"")</f>
        <v>Mecanismos de rendición de cuentas a la ciudadanía</v>
      </c>
      <c r="F29" s="99" t="str">
        <f>+IFERROR(VLOOKUP(C29,Hoja1!$H$2:$I$45,2,0),"")</f>
        <v>Si</v>
      </c>
      <c r="G29" s="100"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14">
        <f t="shared" si="1"/>
        <v>1</v>
      </c>
      <c r="J29" s="283"/>
    </row>
    <row r="30" spans="1:10" ht="45.75" thickBot="1" x14ac:dyDescent="0.3">
      <c r="A30" s="1"/>
      <c r="B30" s="1"/>
      <c r="C30" s="112">
        <v>12</v>
      </c>
      <c r="D30" s="271"/>
      <c r="E30" s="101" t="str">
        <f>+IFERROR(INDEX(Hoja1!$E$2:$E$45,MATCH('Análisis Resultados'!C30,Hoja1!$H$2:$H$45,0)),"")</f>
        <v>Presentación oportuna de sus informes de gestión a las autoridades competentes</v>
      </c>
      <c r="F30" s="102" t="str">
        <f>+IFERROR(VLOOKUP(C30,Hoja1!$H$2:$I$45,2,0),"")</f>
        <v>Si</v>
      </c>
      <c r="G30" s="103" t="str">
        <f t="shared" si="0"/>
        <v>Existe requerimiento pero se requiere actividades  dirigidas a su mantenimiento dentro del marco de las lineas de defensa.</v>
      </c>
      <c r="H30" s="18"/>
      <c r="I30" s="115">
        <f t="shared" si="1"/>
        <v>1</v>
      </c>
      <c r="J30" s="284"/>
    </row>
    <row r="31" spans="1:10" ht="45" customHeight="1" x14ac:dyDescent="0.25">
      <c r="A31" s="1"/>
      <c r="B31" s="1"/>
      <c r="C31" s="112">
        <v>13</v>
      </c>
      <c r="D31" s="296" t="s">
        <v>61</v>
      </c>
      <c r="E31" s="95" t="str">
        <f>+IFERROR(INDEX(Hoja1!$E$2:$E$45,MATCH('Análisis Resultados'!C31,Hoja1!$H$2:$H$45,0)),"")</f>
        <v>Solamente hasta que un organismo de control actúa se definen acciones de mejora.</v>
      </c>
      <c r="F31" s="96" t="str">
        <f>+IFERROR(VLOOKUP(C31,Hoja1!$H$2:$I$45,2,0),"")</f>
        <v>No</v>
      </c>
      <c r="G31" s="97" t="str">
        <f t="shared" si="0"/>
        <v>No se encuentra el aspecto  por lo tanto la entidad debera generar acciones dirigidas a que se cumpla con el requerimiento.</v>
      </c>
      <c r="H31" s="18"/>
      <c r="I31" s="113">
        <f t="shared" si="1"/>
        <v>0</v>
      </c>
      <c r="J31" s="280">
        <f>+AVERAGE(I31:I40)</f>
        <v>0.8</v>
      </c>
    </row>
    <row r="32" spans="1:10" ht="57" customHeight="1" x14ac:dyDescent="0.25">
      <c r="A32" s="1"/>
      <c r="B32" s="1"/>
      <c r="C32" s="112">
        <v>14</v>
      </c>
      <c r="D32" s="297"/>
      <c r="E32" s="98" t="str">
        <f>+IFERROR(INDEX(Hoja1!$E$2:$E$45,MATCH('Análisis Resultados'!C32,Hoja1!$H$2:$H$45,0)),"")</f>
        <v>La identificación de cambios en su entorno que pueden generar consecuencias negativas en su gestión</v>
      </c>
      <c r="F32" s="99" t="str">
        <f>+IFERROR(VLOOKUP(C32,Hoja1!$H$2:$I$45,2,0),"")</f>
        <v>En proceso</v>
      </c>
      <c r="G32" s="100" t="str">
        <f t="shared" si="0"/>
        <v>Se encuentra en proceso, pero requiere continuar con acciones dirigidas a contar con dicho aspecto de control.</v>
      </c>
      <c r="H32" s="18"/>
      <c r="I32" s="114">
        <f t="shared" si="1"/>
        <v>0.5</v>
      </c>
      <c r="J32" s="281"/>
    </row>
    <row r="33" spans="1:10" ht="54" customHeight="1" x14ac:dyDescent="0.25">
      <c r="A33" s="1"/>
      <c r="B33" s="1"/>
      <c r="C33" s="112">
        <v>15</v>
      </c>
      <c r="D33" s="297"/>
      <c r="E33" s="98" t="str">
        <f>+IFERROR(INDEX(Hoja1!$E$2:$E$45,MATCH('Análisis Resultados'!C33,Hoja1!$H$2:$H$45,0)),"")</f>
        <v>Si su capacidad e infraestructura lo permite, identificación de riesgos asociados a las tecnologías de la información y las comunicaciones</v>
      </c>
      <c r="F33" s="99" t="str">
        <f>+IFERROR(VLOOKUP(C33,Hoja1!$H$2:$I$45,2,0),"")</f>
        <v>En proceso</v>
      </c>
      <c r="G33" s="100" t="str">
        <f t="shared" si="0"/>
        <v>Se encuentra en proceso, pero requiere continuar con acciones dirigidas a contar con dicho aspecto de control.</v>
      </c>
      <c r="H33" s="18"/>
      <c r="I33" s="114">
        <f t="shared" si="1"/>
        <v>0.5</v>
      </c>
      <c r="J33" s="281"/>
    </row>
    <row r="34" spans="1:10" ht="57" x14ac:dyDescent="0.25">
      <c r="A34" s="1"/>
      <c r="B34" s="1"/>
      <c r="C34" s="112">
        <v>16</v>
      </c>
      <c r="D34" s="297"/>
      <c r="E34" s="98" t="str">
        <f>+IFERROR(INDEX(Hoja1!$E$2:$E$45,MATCH('Análisis Resultados'!C34,Hoja1!$H$2:$H$45,0)),"")</f>
        <v>La identificación de aquellos problemas o aspectos que pueden afectar el cumplimiento de los planes de la entidad y en general su gestión institucional (riesgos)</v>
      </c>
      <c r="F34" s="99" t="str">
        <f>+IFERROR(VLOOKUP(C34,Hoja1!$H$2:$I$45,2,0),"")</f>
        <v>Si</v>
      </c>
      <c r="G34" s="100" t="str">
        <f t="shared" si="0"/>
        <v>Existe requerimiento pero se requiere actividades  dirigidas a su mantenimiento dentro del marco de las lineas de defensa.</v>
      </c>
      <c r="H34" s="18"/>
      <c r="I34" s="114">
        <f t="shared" si="1"/>
        <v>1</v>
      </c>
      <c r="J34" s="281"/>
    </row>
    <row r="35" spans="1:10" ht="67.5" customHeight="1" x14ac:dyDescent="0.25">
      <c r="A35" s="1"/>
      <c r="B35" s="1"/>
      <c r="C35" s="112">
        <v>17</v>
      </c>
      <c r="D35" s="297"/>
      <c r="E35" s="98" t="str">
        <f>+IFERROR(INDEX(Hoja1!$E$2:$E$45,MATCH('Análisis Resultados'!C35,Hoja1!$H$2:$H$45,0)),"")</f>
        <v>La identificación  de los riesgos relacionados con posibles actos de corrupción en el ejercicio de sus funciones</v>
      </c>
      <c r="F35" s="99" t="str">
        <f>+IFERROR(VLOOKUP(C35,Hoja1!$H$2:$I$45,2,0),"")</f>
        <v>Si</v>
      </c>
      <c r="G35" s="100" t="str">
        <f t="shared" si="0"/>
        <v>Existe requerimiento pero se requiere actividades  dirigidas a su mantenimiento dentro del marco de las lineas de defensa.</v>
      </c>
      <c r="H35" s="18"/>
      <c r="I35" s="114">
        <f t="shared" si="1"/>
        <v>1</v>
      </c>
      <c r="J35" s="281"/>
    </row>
    <row r="36" spans="1:10" ht="45" x14ac:dyDescent="0.25">
      <c r="A36" s="1"/>
      <c r="B36" s="1"/>
      <c r="C36" s="112">
        <v>18</v>
      </c>
      <c r="D36" s="297"/>
      <c r="E36" s="98" t="str">
        <f>+IFERROR(INDEX(Hoja1!$E$2:$E$45,MATCH('Análisis Resultados'!C36,Hoja1!$H$2:$H$45,0)),"")</f>
        <v>Hacen seguimiento a los problemas (riesgos)  que pueden afectar el cumplimiento de sus procesos, programas o proyectos a cargo</v>
      </c>
      <c r="F36" s="99" t="str">
        <f>+IFERROR(VLOOKUP(C36,Hoja1!$H$2:$I$45,2,0),"")</f>
        <v>Si</v>
      </c>
      <c r="G36" s="100" t="str">
        <f t="shared" si="0"/>
        <v>Existe requerimiento pero se requiere actividades  dirigidas a su mantenimiento dentro del marco de las lineas de defensa.</v>
      </c>
      <c r="H36" s="18"/>
      <c r="I36" s="114">
        <f t="shared" si="1"/>
        <v>1</v>
      </c>
      <c r="J36" s="281"/>
    </row>
    <row r="37" spans="1:10" ht="57" customHeight="1" x14ac:dyDescent="0.25">
      <c r="A37" s="1"/>
      <c r="B37" s="1"/>
      <c r="C37" s="112">
        <v>19</v>
      </c>
      <c r="D37" s="297"/>
      <c r="E37" s="98" t="str">
        <f>+IFERROR(INDEX(Hoja1!$E$2:$E$45,MATCH('Análisis Resultados'!C37,Hoja1!$H$2:$H$45,0)),"")</f>
        <v>Informan de manera periódica a quien corresponda sobre el desempeño de las actividades de gestión de riesgos</v>
      </c>
      <c r="F37" s="99" t="str">
        <f>+IFERROR(VLOOKUP(C37,Hoja1!$H$2:$I$45,2,0),"")</f>
        <v>Si</v>
      </c>
      <c r="G37" s="100" t="str">
        <f t="shared" si="0"/>
        <v>Existe requerimiento pero se requiere actividades  dirigidas a su mantenimiento dentro del marco de las lineas de defensa.</v>
      </c>
      <c r="H37" s="18"/>
      <c r="I37" s="114">
        <f t="shared" si="1"/>
        <v>1</v>
      </c>
      <c r="J37" s="281"/>
    </row>
    <row r="38" spans="1:10" ht="45" x14ac:dyDescent="0.25">
      <c r="A38" s="1"/>
      <c r="B38" s="1"/>
      <c r="C38" s="112">
        <v>20</v>
      </c>
      <c r="D38" s="297"/>
      <c r="E38" s="98" t="str">
        <f>+IFERROR(INDEX(Hoja1!$E$2:$E$45,MATCH('Análisis Resultados'!C38,Hoja1!$H$2:$H$45,0)),"")</f>
        <v>Identifican deficiencias en las maneras de  controlar los riesgos o problemas en sus procesos, programas o proyectos, y propone los ajustes necesarios</v>
      </c>
      <c r="F38" s="99" t="str">
        <f>+IFERROR(VLOOKUP(C38,Hoja1!$H$2:$I$45,2,0),"")</f>
        <v>Si</v>
      </c>
      <c r="G38" s="100" t="str">
        <f t="shared" si="0"/>
        <v>Existe requerimiento pero se requiere actividades  dirigidas a su mantenimiento dentro del marco de las lineas de defensa.</v>
      </c>
      <c r="H38" s="18"/>
      <c r="I38" s="114">
        <f t="shared" si="1"/>
        <v>1</v>
      </c>
      <c r="J38" s="281"/>
    </row>
    <row r="39" spans="1:10" ht="45" x14ac:dyDescent="0.25">
      <c r="A39" s="1"/>
      <c r="B39" s="1"/>
      <c r="C39" s="112">
        <v>21</v>
      </c>
      <c r="D39" s="297"/>
      <c r="E39" s="98" t="str">
        <f>+IFERROR(INDEX(Hoja1!$E$2:$E$45,MATCH('Análisis Resultados'!C39,Hoja1!$H$2:$H$45,0)),"")</f>
        <v>Se definen espacios de reunión para conocerlos y proponer acciones para su solución</v>
      </c>
      <c r="F39" s="99" t="str">
        <f>+IFERROR(VLOOKUP(C39,Hoja1!$H$2:$I$45,2,0),"")</f>
        <v>Si</v>
      </c>
      <c r="G39" s="100" t="str">
        <f t="shared" si="0"/>
        <v>Existe requerimiento pero se requiere actividades  dirigidas a su mantenimiento dentro del marco de las lineas de defensa.</v>
      </c>
      <c r="H39" s="18"/>
      <c r="I39" s="114">
        <f t="shared" si="1"/>
        <v>1</v>
      </c>
      <c r="J39" s="281"/>
    </row>
    <row r="40" spans="1:10" ht="45.75" thickBot="1" x14ac:dyDescent="0.3">
      <c r="A40" s="1"/>
      <c r="B40" s="1"/>
      <c r="C40" s="112">
        <v>22</v>
      </c>
      <c r="D40" s="297"/>
      <c r="E40" s="104" t="str">
        <f>+IFERROR(INDEX(Hoja1!$E$2:$E$45,MATCH('Análisis Resultados'!C40,Hoja1!$H$2:$H$45,0)),"")</f>
        <v>Cada líder del equipo autónomamente toma las acciones para solucionarlos.</v>
      </c>
      <c r="F40" s="105" t="str">
        <f>+IFERROR(VLOOKUP(C40,Hoja1!$H$2:$I$45,2,0),"")</f>
        <v>Si</v>
      </c>
      <c r="G40" s="106" t="str">
        <f t="shared" si="0"/>
        <v>Existe requerimiento pero se requiere actividades  dirigidas a su mantenimiento dentro del marco de las lineas de defensa.</v>
      </c>
      <c r="H40" s="18"/>
      <c r="I40" s="116">
        <f t="shared" si="1"/>
        <v>1</v>
      </c>
      <c r="J40" s="281"/>
    </row>
    <row r="41" spans="1:10" ht="87.75" customHeight="1" x14ac:dyDescent="0.25">
      <c r="A41" s="1"/>
      <c r="B41" s="1"/>
      <c r="C41" s="112">
        <v>23</v>
      </c>
      <c r="D41" s="292" t="s">
        <v>79</v>
      </c>
      <c r="E41" s="95" t="str">
        <f>+IFERROR(INDEX(Hoja1!$E$2:$E$45,MATCH('Análisis Resultados'!C41,Hoja1!$H$2:$H$45,0)),"")</f>
        <v>La definición de acciones o actividades para para dar tratamiento a los problemas identificados (mitigación de riesgos), incluyendo aquellos asociados a posibles actos de corrupción</v>
      </c>
      <c r="F41" s="96" t="str">
        <f>+IFERROR(VLOOKUP(C41,Hoja1!$H$2:$I$45,2,0),"")</f>
        <v>Si</v>
      </c>
      <c r="G41" s="97" t="str">
        <f t="shared" si="0"/>
        <v>Existe requerimiento pero se requiere actividades  dirigidas a su mantenimiento dentro del marco de las lineas de defensa.</v>
      </c>
      <c r="H41" s="18"/>
      <c r="I41" s="113">
        <f t="shared" si="1"/>
        <v>1</v>
      </c>
      <c r="J41" s="280">
        <f>+AVERAGE(I41:I45)</f>
        <v>1</v>
      </c>
    </row>
    <row r="42" spans="1:10" ht="57" x14ac:dyDescent="0.25">
      <c r="A42" s="1"/>
      <c r="B42" s="1"/>
      <c r="C42" s="112">
        <v>24</v>
      </c>
      <c r="D42" s="293"/>
      <c r="E42" s="98" t="str">
        <f>+IFERROR(INDEX(Hoja1!$E$2:$E$45,MATCH('Análisis Resultados'!C42,Hoja1!$H$2:$H$45,0)),"")</f>
        <v>Mecanismos de verificación de si se están o no mitigando los riesgos, o en su defecto, elaboración de planes de contingencia para subsanar sus consecuencias</v>
      </c>
      <c r="F42" s="99" t="str">
        <f>+IFERROR(VLOOKUP(C42,Hoja1!$H$2:$I$45,2,0),"")</f>
        <v>Si</v>
      </c>
      <c r="G42" s="100" t="str">
        <f t="shared" si="0"/>
        <v>Existe requerimiento pero se requiere actividades  dirigidas a su mantenimiento dentro del marco de las lineas de defensa.</v>
      </c>
      <c r="H42" s="18"/>
      <c r="I42" s="114">
        <f t="shared" si="1"/>
        <v>1</v>
      </c>
      <c r="J42" s="281"/>
    </row>
    <row r="43" spans="1:10" ht="85.5" customHeight="1" x14ac:dyDescent="0.25">
      <c r="A43" s="1"/>
      <c r="B43" s="1"/>
      <c r="C43" s="112">
        <v>25</v>
      </c>
      <c r="D43" s="293"/>
      <c r="E43" s="98" t="str">
        <f>+IFERROR(INDEX(Hoja1!$E$2:$E$45,MATCH('Análisis Resultados'!C43,Hoja1!$H$2:$H$45,0)),"")</f>
        <v>Planes, acciones o estrategias que permitan subsanar las consecuencias de la materialización de los riesgos, cuando se presentan</v>
      </c>
      <c r="F43" s="99" t="str">
        <f>+IFERROR(VLOOKUP(C43,Hoja1!$H$2:$I$45,2,0),"")</f>
        <v>Si</v>
      </c>
      <c r="G43" s="100" t="str">
        <f t="shared" si="0"/>
        <v>Existe requerimiento pero se requiere actividades  dirigidas a su mantenimiento dentro del marco de las lineas de defensa.</v>
      </c>
      <c r="H43" s="18"/>
      <c r="I43" s="114">
        <f t="shared" si="1"/>
        <v>1</v>
      </c>
      <c r="J43" s="281"/>
    </row>
    <row r="44" spans="1:10" ht="57" customHeight="1" x14ac:dyDescent="0.25">
      <c r="A44" s="1"/>
      <c r="B44" s="1"/>
      <c r="C44" s="112">
        <v>26</v>
      </c>
      <c r="D44" s="293"/>
      <c r="E44" s="98" t="str">
        <f>+IFERROR(INDEX(Hoja1!$E$2:$E$45,MATCH('Análisis Resultados'!C44,Hoja1!$H$2:$H$45,0)),"")</f>
        <v>Un documento que consolide  los riesgos  y el tratamiento que se les da, incluyendo aquellos que conllevan posibles actos de corrupción y si la capacidad e infraestructura lo permite, los asociados con las tecnologías de la información y las comunicaciones</v>
      </c>
      <c r="F44" s="99" t="str">
        <f>+IFERROR(VLOOKUP(C44,Hoja1!$H$2:$I$45,2,0),"")</f>
        <v>Si</v>
      </c>
      <c r="G44" s="100" t="str">
        <f t="shared" si="0"/>
        <v>Existe requerimiento pero se requiere actividades  dirigidas a su mantenimiento dentro del marco de las lineas de defensa.</v>
      </c>
      <c r="H44" s="18"/>
      <c r="I44" s="114">
        <f t="shared" si="1"/>
        <v>1</v>
      </c>
      <c r="J44" s="281"/>
    </row>
    <row r="45" spans="1:10" ht="57" customHeight="1" thickBot="1" x14ac:dyDescent="0.3">
      <c r="A45" s="1"/>
      <c r="B45" s="1"/>
      <c r="C45" s="112">
        <v>27</v>
      </c>
      <c r="D45" s="294"/>
      <c r="E45" s="101" t="str">
        <f>+IFERROR(INDEX(Hoja1!$E$2:$E$45,MATCH('Análisis Resultados'!C45,Hoja1!$H$2:$H$45,0)),"")</f>
        <v>Un plan anticorrupción y de servicio al ciudadano con los temas que le aplican, publicado en algún medio para conocimiento de la ciudadanía</v>
      </c>
      <c r="F45" s="102" t="str">
        <f>+IFERROR(VLOOKUP(C45,Hoja1!$H$2:$I$45,2,0),"")</f>
        <v>Si</v>
      </c>
      <c r="G45" s="103" t="str">
        <f t="shared" si="0"/>
        <v>Existe requerimiento pero se requiere actividades  dirigidas a su mantenimiento dentro del marco de las lineas de defensa.</v>
      </c>
      <c r="H45" s="18"/>
      <c r="I45" s="115">
        <f t="shared" si="1"/>
        <v>1</v>
      </c>
      <c r="J45" s="295"/>
    </row>
    <row r="46" spans="1:10" ht="63.75" customHeight="1" x14ac:dyDescent="0.25">
      <c r="A46" s="1"/>
      <c r="B46" s="1"/>
      <c r="C46" s="112">
        <v>28</v>
      </c>
      <c r="D46" s="291" t="s">
        <v>87</v>
      </c>
      <c r="E46" s="107" t="str">
        <f>+IFERROR(INDEX(Hoja1!$E$2:$E$45,MATCH('Análisis Resultados'!C46,Hoja1!$H$2:$H$45,0)),"")</f>
        <v>Si su capacidad e infraestructura lo permite, tecnologías de la información y las comunicaciones que soporten estos procesos</v>
      </c>
      <c r="F46" s="108" t="str">
        <f>+IFERROR(VLOOKUP(C46,Hoja1!$H$2:$I$45,2,0),"")</f>
        <v>En proceso</v>
      </c>
      <c r="G46" s="109" t="str">
        <f t="shared" si="0"/>
        <v>Se encuentra en proceso, pero requiere continuar con acciones dirigidas a contar con dicho aspecto de control.</v>
      </c>
      <c r="H46" s="18"/>
      <c r="I46" s="117">
        <f t="shared" si="1"/>
        <v>0.5</v>
      </c>
      <c r="J46" s="281">
        <f>+AVERAGE(I46:I52)</f>
        <v>0.9285714285714286</v>
      </c>
    </row>
    <row r="47" spans="1:10" ht="92.25" customHeight="1" x14ac:dyDescent="0.25">
      <c r="A47" s="1"/>
      <c r="B47" s="1"/>
      <c r="C47" s="112">
        <v>29</v>
      </c>
      <c r="D47" s="291"/>
      <c r="E47" s="98" t="str">
        <f>+IFERROR(INDEX(Hoja1!$E$2:$E$45,MATCH('Análisis Resultados'!C47,Hoja1!$H$2:$H$45,0)),"")</f>
        <v>Responsables de la información institucional</v>
      </c>
      <c r="F47" s="99" t="str">
        <f>+IFERROR(VLOOKUP(C47,Hoja1!$H$2:$I$45,2,0),"")</f>
        <v>Si</v>
      </c>
      <c r="G47" s="110" t="str">
        <f t="shared" si="0"/>
        <v>Existe requerimiento pero se requiere actividades  dirigidas a su mantenimiento dentro del marco de las lineas de defensa.</v>
      </c>
      <c r="H47" s="18"/>
      <c r="I47" s="118">
        <f t="shared" si="1"/>
        <v>1</v>
      </c>
      <c r="J47" s="281"/>
    </row>
    <row r="48" spans="1:10" ht="66.75" customHeight="1" x14ac:dyDescent="0.25">
      <c r="A48" s="1"/>
      <c r="B48" s="1"/>
      <c r="C48" s="112">
        <v>30</v>
      </c>
      <c r="D48" s="291"/>
      <c r="E48" s="98" t="str">
        <f>+IFERROR(INDEX(Hoja1!$E$2:$E$45,MATCH('Análisis Resultados'!C48,Hoja1!$H$2:$H$45,0)),"")</f>
        <v>Canales de comunicación con los ciudadanos</v>
      </c>
      <c r="F48" s="99" t="str">
        <f>+IFERROR(VLOOKUP(C48,Hoja1!$H$2:$I$45,2,0),"")</f>
        <v>Si</v>
      </c>
      <c r="G48" s="110" t="str">
        <f t="shared" si="0"/>
        <v>Existe requerimiento pero se requiere actividades  dirigidas a su mantenimiento dentro del marco de las lineas de defensa.</v>
      </c>
      <c r="H48" s="18"/>
      <c r="I48" s="118">
        <f t="shared" si="1"/>
        <v>1</v>
      </c>
      <c r="J48" s="281"/>
    </row>
    <row r="49" spans="1:10" ht="60" customHeight="1" x14ac:dyDescent="0.25">
      <c r="A49" s="1"/>
      <c r="B49" s="1"/>
      <c r="C49" s="112">
        <v>31</v>
      </c>
      <c r="D49" s="291"/>
      <c r="E49" s="98" t="str">
        <f>+IFERROR(INDEX(Hoja1!$E$2:$E$45,MATCH('Análisis Resultados'!C49,Hoja1!$H$2:$H$45,0)),"")</f>
        <v>Canales de comunicación o mecanismos de reporte de información a otros organismos gubernamentales o de control</v>
      </c>
      <c r="F49" s="99" t="str">
        <f>+IFERROR(VLOOKUP(C49,Hoja1!$H$2:$I$45,2,0),"")</f>
        <v>Si</v>
      </c>
      <c r="G49" s="110" t="str">
        <f t="shared" si="0"/>
        <v>Existe requerimiento pero se requiere actividades  dirigidas a su mantenimiento dentro del marco de las lineas de defensa.</v>
      </c>
      <c r="H49" s="18"/>
      <c r="I49" s="118">
        <f t="shared" si="1"/>
        <v>1</v>
      </c>
      <c r="J49" s="281"/>
    </row>
    <row r="50" spans="1:10" ht="57" customHeight="1" x14ac:dyDescent="0.25">
      <c r="A50" s="1"/>
      <c r="B50" s="1"/>
      <c r="C50" s="112">
        <v>32</v>
      </c>
      <c r="D50" s="291"/>
      <c r="E50" s="98" t="str">
        <f>+IFERROR(INDEX(Hoja1!$E$2:$E$45,MATCH('Análisis Resultados'!C50,Hoja1!$H$2:$H$45,0)),"")</f>
        <v xml:space="preserve">Lineamientos para dar tratamiento a la información de carácter reservado </v>
      </c>
      <c r="F50" s="99" t="str">
        <f>+IFERROR(VLOOKUP(C50,Hoja1!$H$2:$I$45,2,0),"")</f>
        <v>Si</v>
      </c>
      <c r="G50" s="110" t="str">
        <f t="shared" si="0"/>
        <v>Existe requerimiento pero se requiere actividades  dirigidas a su mantenimiento dentro del marco de las lineas de defensa.</v>
      </c>
      <c r="H50" s="18"/>
      <c r="I50" s="118">
        <f t="shared" si="1"/>
        <v>1</v>
      </c>
      <c r="J50" s="281"/>
    </row>
    <row r="51" spans="1:10" ht="57" customHeight="1" x14ac:dyDescent="0.25">
      <c r="A51" s="1"/>
      <c r="B51" s="1"/>
      <c r="C51" s="112">
        <v>33</v>
      </c>
      <c r="D51" s="291"/>
      <c r="E51" s="98" t="str">
        <f>+IFERROR(INDEX(Hoja1!$E$2:$E$45,MATCH('Análisis Resultados'!C51,Hoja1!$H$2:$H$45,0)),"")</f>
        <v>Identificación de información que produce en el marco de su gestión (Para los ciudadanos, organismos de control, organismos gubernamentales, entre otros)</v>
      </c>
      <c r="F51" s="99" t="str">
        <f>+IFERROR(VLOOKUP(C51,Hoja1!$H$2:$I$45,2,0),"")</f>
        <v>Si</v>
      </c>
      <c r="G51" s="110" t="str">
        <f t="shared" si="0"/>
        <v>Existe requerimiento pero se requiere actividades  dirigidas a su mantenimiento dentro del marco de las lineas de defensa.</v>
      </c>
      <c r="H51" s="18"/>
      <c r="I51" s="118">
        <f t="shared" si="1"/>
        <v>1</v>
      </c>
      <c r="J51" s="281"/>
    </row>
    <row r="52" spans="1:10" ht="45.75" thickBot="1" x14ac:dyDescent="0.3">
      <c r="A52" s="1"/>
      <c r="B52" s="1"/>
      <c r="C52" s="112">
        <v>34</v>
      </c>
      <c r="D52" s="291"/>
      <c r="E52" s="104" t="str">
        <f>+IFERROR(INDEX(Hoja1!$E$2:$E$45,MATCH('Análisis Resultados'!C52,Hoja1!$H$2:$H$45,0)),"")</f>
        <v>Identificación de información necesaria para la operación de la entidad (normograma, presupuesto, talento humano, infraestructura física y tecnológica)</v>
      </c>
      <c r="F52" s="105" t="str">
        <f>+IFERROR(VLOOKUP(C52,Hoja1!$H$2:$I$45,2,0),"")</f>
        <v>Si</v>
      </c>
      <c r="G52" s="111" t="str">
        <f t="shared" si="0"/>
        <v>Existe requerimiento pero se requiere actividades  dirigidas a su mantenimiento dentro del marco de las lineas de defensa.</v>
      </c>
      <c r="H52" s="18"/>
      <c r="I52" s="119">
        <f t="shared" si="1"/>
        <v>1</v>
      </c>
      <c r="J52" s="281"/>
    </row>
    <row r="53" spans="1:10" ht="41.25" customHeight="1" x14ac:dyDescent="0.25">
      <c r="A53" s="1"/>
      <c r="B53" s="1"/>
      <c r="C53" s="112">
        <v>35</v>
      </c>
      <c r="D53" s="285" t="s">
        <v>97</v>
      </c>
      <c r="E53" s="95" t="str">
        <f>+IFERROR(INDEX(Hoja1!$E$2:$E$45,MATCH('Análisis Resultados'!C53,Hoja1!$H$2:$H$45,0)),"")</f>
        <v>La entidad participa en el  Comité Municipal de Auditoría?</v>
      </c>
      <c r="F53" s="96" t="str">
        <f>+IFERROR(VLOOKUP(C53,Hoja1!$H$2:$I$45,2,0),"")</f>
        <v>No</v>
      </c>
      <c r="G53" s="97" t="str">
        <f t="shared" si="0"/>
        <v>No se encuentra el aspecto  por lo tanto la entidad debera generar acciones dirigidas a que se cumpla con el requerimiento.</v>
      </c>
      <c r="H53" s="18"/>
      <c r="I53" s="113">
        <f t="shared" si="1"/>
        <v>0</v>
      </c>
      <c r="J53" s="288">
        <f>+AVERAGE(I53:I62)</f>
        <v>0.9</v>
      </c>
    </row>
    <row r="54" spans="1:10" ht="58.5" customHeight="1" x14ac:dyDescent="0.25">
      <c r="A54" s="1"/>
      <c r="B54" s="1"/>
      <c r="C54" s="112">
        <v>36</v>
      </c>
      <c r="D54" s="286"/>
      <c r="E54" s="98" t="str">
        <f>+IFERROR(INDEX(Hoja1!$E$2:$E$45,MATCH('Análisis Resultados'!C54,Hoja1!$H$2:$H$45,0)),"")</f>
        <v>Mecanismos de evaluación de la gestión (cronogramas, indicadores, listas de chequeo u otros)</v>
      </c>
      <c r="F54" s="99" t="str">
        <f>+IFERROR(VLOOKUP(C54,Hoja1!$H$2:$I$45,2,0),"")</f>
        <v>Si</v>
      </c>
      <c r="G54" s="100" t="str">
        <f t="shared" si="0"/>
        <v>Existe requerimiento pero se requiere actividades  dirigidas a su mantenimiento dentro del marco de las lineas de defensa.</v>
      </c>
      <c r="H54" s="18"/>
      <c r="I54" s="114">
        <f t="shared" si="1"/>
        <v>1</v>
      </c>
      <c r="J54" s="289"/>
    </row>
    <row r="55" spans="1:10" s="1" customFormat="1" ht="84.75" customHeight="1" x14ac:dyDescent="0.25">
      <c r="C55" s="112">
        <v>37</v>
      </c>
      <c r="D55" s="286"/>
      <c r="E55" s="98" t="str">
        <f>+IFERROR(INDEX(Hoja1!$E$2:$E$45,MATCH('Análisis Resultados'!C55,Hoja1!$H$2:$H$45,0)),"")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5" s="99" t="str">
        <f>+IFERROR(VLOOKUP(C55,Hoja1!$H$2:$I$45,2,0),"")</f>
        <v>Si</v>
      </c>
      <c r="G55" s="100" t="str">
        <f t="shared" si="0"/>
        <v>Existe requerimiento pero se requiere actividades  dirigidas a su mantenimiento dentro del marco de las lineas de defensa.</v>
      </c>
      <c r="H55" s="6"/>
      <c r="I55" s="114">
        <f t="shared" si="1"/>
        <v>1</v>
      </c>
      <c r="J55" s="289"/>
    </row>
    <row r="56" spans="1:10" s="1" customFormat="1" ht="78.75" customHeight="1" x14ac:dyDescent="0.25">
      <c r="C56" s="112">
        <v>38</v>
      </c>
      <c r="D56" s="286"/>
      <c r="E56" s="98" t="str">
        <f>+IFERROR(INDEX(Hoja1!$E$2:$E$45,MATCH('Análisis Resultados'!C56,Hoja1!$H$2:$H$45,0)),"")</f>
        <v>Medidas correctivas en caso de detectarse deficiencias en los ejercicios de evaluación, seguimiento o auditoría</v>
      </c>
      <c r="F56" s="99" t="str">
        <f>+IFERROR(VLOOKUP(C56,Hoja1!$H$2:$I$45,2,0),"")</f>
        <v>Si</v>
      </c>
      <c r="G56" s="100" t="str">
        <f t="shared" si="0"/>
        <v>Existe requerimiento pero se requiere actividades  dirigidas a su mantenimiento dentro del marco de las lineas de defensa.</v>
      </c>
      <c r="H56" s="6"/>
      <c r="I56" s="114">
        <f t="shared" si="1"/>
        <v>1</v>
      </c>
      <c r="J56" s="289"/>
    </row>
    <row r="57" spans="1:10" s="1" customFormat="1" ht="54.75" customHeight="1" x14ac:dyDescent="0.25">
      <c r="C57" s="112">
        <v>39</v>
      </c>
      <c r="D57" s="286"/>
      <c r="E57" s="98" t="str">
        <f>+IFERROR(INDEX(Hoja1!$E$2:$E$45,MATCH('Análisis Resultados'!C57,Hoja1!$H$2:$H$45,0)),"")</f>
        <v>Seguimiento a los planes de mejoramiento suscritos con instancias de control internas o externas</v>
      </c>
      <c r="F57" s="99" t="str">
        <f>+IFERROR(VLOOKUP(C57,Hoja1!$H$2:$I$45,2,0),"")</f>
        <v>Si</v>
      </c>
      <c r="G57" s="100" t="str">
        <f t="shared" si="0"/>
        <v>Existe requerimiento pero se requiere actividades  dirigidas a su mantenimiento dentro del marco de las lineas de defensa.</v>
      </c>
      <c r="H57" s="6"/>
      <c r="I57" s="114">
        <f t="shared" si="1"/>
        <v>1</v>
      </c>
      <c r="J57" s="289"/>
    </row>
    <row r="58" spans="1:10" s="1" customFormat="1" ht="68.25" customHeight="1" x14ac:dyDescent="0.25">
      <c r="C58" s="112">
        <v>40</v>
      </c>
      <c r="D58" s="286"/>
      <c r="E58" s="98" t="str">
        <f>+IFERROR(INDEX(Hoja1!$E$2:$E$45,MATCH('Análisis Resultados'!C58,Hoja1!$H$2:$H$45,0)),"")</f>
        <v>Evitar que los problemas (riesgos) obstaculicen el cumplimiento de los objetivos.</v>
      </c>
      <c r="F58" s="99" t="str">
        <f>+IFERROR(VLOOKUP(C58,Hoja1!$H$2:$I$45,2,0),"")</f>
        <v>Si</v>
      </c>
      <c r="G58" s="100" t="str">
        <f t="shared" si="0"/>
        <v>Existe requerimiento pero se requiere actividades  dirigidas a su mantenimiento dentro del marco de las lineas de defensa.</v>
      </c>
      <c r="H58" s="6"/>
      <c r="I58" s="114">
        <f t="shared" si="1"/>
        <v>1</v>
      </c>
      <c r="J58" s="289"/>
    </row>
    <row r="59" spans="1:10" s="1" customFormat="1" ht="45" customHeight="1" x14ac:dyDescent="0.25">
      <c r="C59" s="112">
        <v>41</v>
      </c>
      <c r="D59" s="286"/>
      <c r="E59" s="98" t="str">
        <f>+IFERROR(INDEX(Hoja1!$E$2:$E$45,MATCH('Análisis Resultados'!C59,Hoja1!$H$2:$H$45,0)),"")</f>
        <v>Controlar los puntos críticos en los procesos.</v>
      </c>
      <c r="F59" s="99" t="str">
        <f>+IFERROR(VLOOKUP(C59,Hoja1!$H$2:$I$45,2,0),"")</f>
        <v>Si</v>
      </c>
      <c r="G59" s="100" t="str">
        <f t="shared" si="0"/>
        <v>Existe requerimiento pero se requiere actividades  dirigidas a su mantenimiento dentro del marco de las lineas de defensa.</v>
      </c>
      <c r="H59" s="6"/>
      <c r="I59" s="114">
        <f t="shared" si="1"/>
        <v>1</v>
      </c>
      <c r="J59" s="289"/>
    </row>
    <row r="60" spans="1:10" s="1" customFormat="1" ht="51.75" customHeight="1" x14ac:dyDescent="0.25">
      <c r="C60" s="112">
        <v>42</v>
      </c>
      <c r="D60" s="286"/>
      <c r="E60" s="98" t="str">
        <f>+IFERROR(INDEX(Hoja1!$E$2:$E$45,MATCH('Análisis Resultados'!C60,Hoja1!$H$2:$H$45,0)),"")</f>
        <v>Diseñar acciones adecuadas para controlar los problemas que afectan el cumplimiento de las metas y objetivos institucionales (riesgos).</v>
      </c>
      <c r="F60" s="99" t="str">
        <f>+IFERROR(VLOOKUP(C60,Hoja1!$H$2:$I$45,2,0),"")</f>
        <v>Si</v>
      </c>
      <c r="G60" s="100" t="str">
        <f t="shared" si="0"/>
        <v>Existe requerimiento pero se requiere actividades  dirigidas a su mantenimiento dentro del marco de las lineas de defensa.</v>
      </c>
      <c r="H60" s="6"/>
      <c r="I60" s="114">
        <f t="shared" si="1"/>
        <v>1</v>
      </c>
      <c r="J60" s="289"/>
    </row>
    <row r="61" spans="1:10" s="1" customFormat="1" ht="84" customHeight="1" x14ac:dyDescent="0.25">
      <c r="C61" s="112">
        <v>43</v>
      </c>
      <c r="D61" s="286"/>
      <c r="E61" s="98" t="str">
        <f>+IFERROR(INDEX(Hoja1!$E$2:$E$45,MATCH('Análisis Resultados'!C61,Hoja1!$H$2:$H$45,0)),"")</f>
        <v>Ejecutar las acciones de acuerdo a como se diseñaron previamente.</v>
      </c>
      <c r="F61" s="99" t="str">
        <f>+IFERROR(VLOOKUP(C61,Hoja1!$H$2:$I$45,2,0),"")</f>
        <v>Si</v>
      </c>
      <c r="G61" s="100" t="str">
        <f t="shared" si="0"/>
        <v>Existe requerimiento pero se requiere actividades  dirigidas a su mantenimiento dentro del marco de las lineas de defensa.</v>
      </c>
      <c r="H61" s="6"/>
      <c r="I61" s="114">
        <f t="shared" si="1"/>
        <v>1</v>
      </c>
      <c r="J61" s="289"/>
    </row>
    <row r="62" spans="1:10" s="1" customFormat="1" ht="60" customHeight="1" thickBot="1" x14ac:dyDescent="0.3">
      <c r="C62" s="112">
        <v>44</v>
      </c>
      <c r="D62" s="287"/>
      <c r="E62" s="101" t="str">
        <f>+IFERROR(INDEX(Hoja1!$E$2:$E$45,MATCH('Análisis Resultados'!C62,Hoja1!$H$2:$H$45,0)),"")</f>
        <v>No se gestionan los problemas que afectan el cumplimiento de las funciones y objetivos institucionales(riesgos).</v>
      </c>
      <c r="F62" s="102" t="str">
        <f>+IFERROR(VLOOKUP(C62,Hoja1!$H$2:$I$45,2,0),"")</f>
        <v>Si</v>
      </c>
      <c r="G62" s="103" t="str">
        <f t="shared" si="0"/>
        <v>Existe requerimiento pero se requiere actividades  dirigidas a su mantenimiento dentro del marco de las lineas de defensa.</v>
      </c>
      <c r="H62" s="6"/>
      <c r="I62" s="115">
        <f t="shared" si="1"/>
        <v>1</v>
      </c>
      <c r="J62" s="290"/>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topLeftCell="A16" zoomScale="64" zoomScaleNormal="64" workbookViewId="0">
      <selection activeCell="I14" sqref="I14"/>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11" t="s">
        <v>124</v>
      </c>
      <c r="F4" s="313" t="s">
        <v>202</v>
      </c>
      <c r="G4" s="313"/>
      <c r="H4" s="313"/>
      <c r="I4" s="313"/>
      <c r="J4" s="313"/>
      <c r="K4" s="313"/>
      <c r="L4" s="313"/>
      <c r="M4" s="313"/>
      <c r="N4" s="7"/>
      <c r="O4" s="7"/>
      <c r="P4" s="8"/>
      <c r="Q4" s="1"/>
    </row>
    <row r="5" spans="1:17" ht="45.75" customHeight="1" x14ac:dyDescent="0.3">
      <c r="A5" s="1"/>
      <c r="B5" s="5"/>
      <c r="C5" s="6"/>
      <c r="D5" s="6"/>
      <c r="E5" s="312"/>
      <c r="F5" s="313"/>
      <c r="G5" s="313"/>
      <c r="H5" s="313"/>
      <c r="I5" s="313"/>
      <c r="J5" s="313"/>
      <c r="K5" s="313"/>
      <c r="L5" s="313"/>
      <c r="M5" s="313"/>
      <c r="N5" s="7"/>
      <c r="O5" s="7"/>
      <c r="P5" s="8"/>
      <c r="Q5" s="1"/>
    </row>
    <row r="6" spans="1:17" ht="66.75" customHeight="1" x14ac:dyDescent="0.3">
      <c r="A6" s="1"/>
      <c r="B6" s="5"/>
      <c r="C6" s="6"/>
      <c r="D6" s="6"/>
      <c r="E6" s="82" t="s">
        <v>125</v>
      </c>
      <c r="F6" s="314" t="s">
        <v>236</v>
      </c>
      <c r="G6" s="315"/>
      <c r="H6" s="315"/>
      <c r="I6" s="315"/>
      <c r="J6" s="315"/>
      <c r="K6" s="315"/>
      <c r="L6" s="315"/>
      <c r="M6" s="316"/>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7" t="s">
        <v>126</v>
      </c>
      <c r="J8" s="318"/>
      <c r="K8" s="319"/>
      <c r="L8" s="6"/>
      <c r="M8" s="120">
        <f>+AVERAGE(G26,G28,G30,G32,G34)</f>
        <v>0.91738095238095241</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20" t="s">
        <v>127</v>
      </c>
      <c r="D18" s="321"/>
      <c r="E18" s="321"/>
      <c r="F18" s="321"/>
      <c r="G18" s="321"/>
      <c r="H18" s="321"/>
      <c r="I18" s="321"/>
      <c r="J18" s="321"/>
      <c r="K18" s="321"/>
      <c r="L18" s="321"/>
      <c r="M18" s="322"/>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3" t="s">
        <v>128</v>
      </c>
      <c r="D20" s="324"/>
      <c r="E20" s="123" t="s">
        <v>39</v>
      </c>
      <c r="F20" s="325" t="s">
        <v>199</v>
      </c>
      <c r="G20" s="325"/>
      <c r="H20" s="325"/>
      <c r="I20" s="325"/>
      <c r="J20" s="325"/>
      <c r="K20" s="325"/>
      <c r="L20" s="325"/>
      <c r="M20" s="326"/>
      <c r="N20" s="15"/>
      <c r="O20" s="15"/>
      <c r="P20" s="8"/>
      <c r="Q20" s="1"/>
    </row>
    <row r="21" spans="1:17" ht="126.75" customHeight="1" x14ac:dyDescent="0.25">
      <c r="A21" s="1"/>
      <c r="B21" s="5"/>
      <c r="C21" s="307" t="s">
        <v>129</v>
      </c>
      <c r="D21" s="308"/>
      <c r="E21" s="124" t="s">
        <v>39</v>
      </c>
      <c r="F21" s="327" t="s">
        <v>201</v>
      </c>
      <c r="G21" s="327"/>
      <c r="H21" s="327"/>
      <c r="I21" s="327"/>
      <c r="J21" s="327"/>
      <c r="K21" s="327"/>
      <c r="L21" s="327"/>
      <c r="M21" s="328"/>
      <c r="N21" s="15"/>
      <c r="O21" s="15"/>
      <c r="P21" s="8"/>
      <c r="Q21" s="1"/>
    </row>
    <row r="22" spans="1:17" ht="151.5" customHeight="1" thickBot="1" x14ac:dyDescent="0.3">
      <c r="A22" s="1"/>
      <c r="B22" s="5"/>
      <c r="C22" s="309" t="s">
        <v>130</v>
      </c>
      <c r="D22" s="310"/>
      <c r="E22" s="125" t="s">
        <v>39</v>
      </c>
      <c r="F22" s="329" t="s">
        <v>200</v>
      </c>
      <c r="G22" s="329"/>
      <c r="H22" s="329"/>
      <c r="I22" s="329"/>
      <c r="J22" s="329"/>
      <c r="K22" s="329"/>
      <c r="L22" s="329"/>
      <c r="M22" s="330"/>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85" t="s">
        <v>131</v>
      </c>
      <c r="D24" s="86"/>
      <c r="E24" s="85" t="s">
        <v>132</v>
      </c>
      <c r="F24" s="86"/>
      <c r="G24" s="85" t="s">
        <v>133</v>
      </c>
      <c r="H24" s="86"/>
      <c r="I24" s="301" t="s">
        <v>134</v>
      </c>
      <c r="J24" s="301"/>
      <c r="K24" s="301"/>
      <c r="L24" s="301"/>
      <c r="M24" s="301"/>
      <c r="N24" s="33"/>
      <c r="O24" s="33"/>
      <c r="P24" s="8"/>
      <c r="Q24" s="17"/>
    </row>
    <row r="25" spans="1:17" ht="13.5" customHeight="1" thickBot="1" x14ac:dyDescent="0.3">
      <c r="A25" s="1"/>
      <c r="B25" s="5"/>
      <c r="C25" s="32"/>
      <c r="D25" s="18"/>
      <c r="E25" s="18"/>
      <c r="F25" s="18"/>
      <c r="G25" s="18"/>
      <c r="H25" s="18"/>
      <c r="I25" s="305"/>
      <c r="J25" s="305"/>
      <c r="K25" s="305"/>
      <c r="L25" s="305"/>
      <c r="M25" s="305"/>
      <c r="N25" s="34"/>
      <c r="O25" s="34"/>
      <c r="P25" s="8"/>
      <c r="Q25" s="1"/>
    </row>
    <row r="26" spans="1:17" ht="155.25" customHeight="1" thickBot="1" x14ac:dyDescent="0.3">
      <c r="A26" s="1"/>
      <c r="B26" s="5"/>
      <c r="C26" s="76" t="s">
        <v>32</v>
      </c>
      <c r="D26" s="19"/>
      <c r="E26" s="121" t="str">
        <f>+IF(Hoja1!K2&gt;=0.5,"Si","No")</f>
        <v>Si</v>
      </c>
      <c r="F26" s="20"/>
      <c r="G26" s="122">
        <f>+Hoja1!K2</f>
        <v>0.95833333333333337</v>
      </c>
      <c r="H26" s="20"/>
      <c r="I26" s="302" t="s">
        <v>194</v>
      </c>
      <c r="J26" s="303"/>
      <c r="K26" s="303"/>
      <c r="L26" s="303"/>
      <c r="M26" s="304"/>
      <c r="N26" s="35"/>
      <c r="O26" s="36"/>
      <c r="P26" s="21"/>
      <c r="Q26" s="22"/>
    </row>
    <row r="27" spans="1:17" ht="27" thickBot="1" x14ac:dyDescent="0.45">
      <c r="A27" s="1"/>
      <c r="B27" s="5"/>
      <c r="C27" s="77"/>
      <c r="D27" s="23"/>
      <c r="E27" s="84"/>
      <c r="F27" s="18"/>
      <c r="G27" s="24"/>
      <c r="H27" s="18"/>
      <c r="I27" s="306"/>
      <c r="J27" s="306"/>
      <c r="K27" s="306"/>
      <c r="L27" s="306"/>
      <c r="M27" s="306"/>
      <c r="N27" s="37"/>
      <c r="O27" s="37"/>
      <c r="P27" s="8"/>
      <c r="Q27" s="1"/>
    </row>
    <row r="28" spans="1:17" ht="111.75" customHeight="1" thickBot="1" x14ac:dyDescent="0.3">
      <c r="A28" s="1"/>
      <c r="B28" s="5"/>
      <c r="C28" s="78" t="s">
        <v>135</v>
      </c>
      <c r="D28" s="19"/>
      <c r="E28" s="121" t="str">
        <f>+IF(Hoja1!K14&gt;=0.5,"Si","No")</f>
        <v>Si</v>
      </c>
      <c r="F28" s="18"/>
      <c r="G28" s="122">
        <f>+Hoja1!K14</f>
        <v>0.8</v>
      </c>
      <c r="H28" s="18"/>
      <c r="I28" s="298" t="s">
        <v>195</v>
      </c>
      <c r="J28" s="299"/>
      <c r="K28" s="299"/>
      <c r="L28" s="299"/>
      <c r="M28" s="300"/>
      <c r="N28" s="35"/>
      <c r="O28" s="35"/>
      <c r="P28" s="8"/>
      <c r="Q28" s="1"/>
    </row>
    <row r="29" spans="1:17" ht="27" thickBot="1" x14ac:dyDescent="0.45">
      <c r="A29" s="1"/>
      <c r="B29" s="5"/>
      <c r="C29" s="77"/>
      <c r="D29" s="23"/>
      <c r="E29" s="84"/>
      <c r="F29" s="18"/>
      <c r="G29" s="24"/>
      <c r="H29" s="18"/>
      <c r="I29" s="306"/>
      <c r="J29" s="306"/>
      <c r="K29" s="306"/>
      <c r="L29" s="306"/>
      <c r="M29" s="306"/>
      <c r="N29" s="37"/>
      <c r="O29" s="37"/>
      <c r="P29" s="8"/>
      <c r="Q29" s="1"/>
    </row>
    <row r="30" spans="1:17" ht="123" customHeight="1" thickBot="1" x14ac:dyDescent="0.3">
      <c r="A30" s="1"/>
      <c r="B30" s="5"/>
      <c r="C30" s="79" t="s">
        <v>136</v>
      </c>
      <c r="D30" s="19"/>
      <c r="E30" s="121" t="str">
        <f>+IF(Hoja1!K24&gt;=0.5,"Si","No")</f>
        <v>Si</v>
      </c>
      <c r="F30" s="18"/>
      <c r="G30" s="122">
        <f>+Hoja1!K24</f>
        <v>1</v>
      </c>
      <c r="H30" s="18"/>
      <c r="I30" s="298" t="s">
        <v>196</v>
      </c>
      <c r="J30" s="299"/>
      <c r="K30" s="299"/>
      <c r="L30" s="299"/>
      <c r="M30" s="300"/>
      <c r="N30" s="35"/>
      <c r="O30" s="35"/>
      <c r="P30" s="8"/>
      <c r="Q30" s="1"/>
    </row>
    <row r="31" spans="1:17" ht="27" thickBot="1" x14ac:dyDescent="0.45">
      <c r="A31" s="1"/>
      <c r="B31" s="5"/>
      <c r="C31" s="77"/>
      <c r="D31" s="23"/>
      <c r="E31" s="84"/>
      <c r="F31" s="18"/>
      <c r="G31" s="24"/>
      <c r="H31" s="18"/>
      <c r="I31" s="306"/>
      <c r="J31" s="306"/>
      <c r="K31" s="306"/>
      <c r="L31" s="306"/>
      <c r="M31" s="306"/>
      <c r="N31" s="37"/>
      <c r="O31" s="37"/>
      <c r="P31" s="8"/>
      <c r="Q31" s="1"/>
    </row>
    <row r="32" spans="1:17" ht="171" customHeight="1" thickBot="1" x14ac:dyDescent="0.3">
      <c r="A32" s="1"/>
      <c r="B32" s="5"/>
      <c r="C32" s="80" t="s">
        <v>87</v>
      </c>
      <c r="D32" s="19"/>
      <c r="E32" s="121" t="str">
        <f>+IF(Hoja1!K29&gt;=0.5,"Si","No")</f>
        <v>Si</v>
      </c>
      <c r="F32" s="18"/>
      <c r="G32" s="122">
        <f>+Hoja1!K29</f>
        <v>0.9285714285714286</v>
      </c>
      <c r="H32" s="18"/>
      <c r="I32" s="298" t="s">
        <v>197</v>
      </c>
      <c r="J32" s="299"/>
      <c r="K32" s="299"/>
      <c r="L32" s="299"/>
      <c r="M32" s="300"/>
      <c r="N32" s="35"/>
      <c r="O32" s="35"/>
      <c r="P32" s="8"/>
      <c r="Q32" s="1"/>
    </row>
    <row r="33" spans="1:17" ht="27" thickBot="1" x14ac:dyDescent="0.45">
      <c r="A33" s="1"/>
      <c r="B33" s="5"/>
      <c r="C33" s="77"/>
      <c r="D33" s="23"/>
      <c r="E33" s="84"/>
      <c r="F33" s="18"/>
      <c r="G33" s="24"/>
      <c r="H33" s="18"/>
      <c r="I33" s="306"/>
      <c r="J33" s="306"/>
      <c r="K33" s="306"/>
      <c r="L33" s="306"/>
      <c r="M33" s="306"/>
      <c r="N33" s="37"/>
      <c r="O33" s="37"/>
      <c r="P33" s="8"/>
      <c r="Q33" s="1"/>
    </row>
    <row r="34" spans="1:17" ht="164.25" customHeight="1" thickBot="1" x14ac:dyDescent="0.3">
      <c r="A34" s="1"/>
      <c r="B34" s="5"/>
      <c r="C34" s="81" t="s">
        <v>137</v>
      </c>
      <c r="D34" s="19"/>
      <c r="E34" s="83" t="str">
        <f>+IF(Hoja1!K36&gt;=0.5,"Si","No")</f>
        <v>Si</v>
      </c>
      <c r="F34" s="18"/>
      <c r="G34" s="122">
        <f>+Hoja1!K36</f>
        <v>0.9</v>
      </c>
      <c r="H34" s="18"/>
      <c r="I34" s="298" t="s">
        <v>198</v>
      </c>
      <c r="J34" s="299"/>
      <c r="K34" s="299"/>
      <c r="L34" s="299"/>
      <c r="M34" s="300"/>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orientation="portrait"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26" t="s">
        <v>25</v>
      </c>
      <c r="B1" s="126" t="s">
        <v>6</v>
      </c>
      <c r="C1" s="127" t="s">
        <v>8</v>
      </c>
      <c r="D1" s="128" t="s">
        <v>26</v>
      </c>
      <c r="E1" s="128" t="s">
        <v>27</v>
      </c>
      <c r="F1" s="128" t="s">
        <v>138</v>
      </c>
      <c r="G1" s="129" t="s">
        <v>139</v>
      </c>
      <c r="H1" s="129" t="s">
        <v>140</v>
      </c>
      <c r="I1" s="129" t="s">
        <v>119</v>
      </c>
      <c r="J1" s="129" t="s">
        <v>141</v>
      </c>
      <c r="K1" s="129" t="s">
        <v>142</v>
      </c>
    </row>
    <row r="2" spans="1:11" x14ac:dyDescent="0.25">
      <c r="A2" s="130" t="s">
        <v>143</v>
      </c>
      <c r="B2" s="130" t="str">
        <f>+VLOOKUP(A2,'Estado SCI'!$A$16:$C$59,3,0)</f>
        <v>AMBIENTE DE CONTROL</v>
      </c>
      <c r="C2" s="130" t="s">
        <v>33</v>
      </c>
      <c r="D2" s="130" t="s">
        <v>34</v>
      </c>
      <c r="E2" s="130" t="s">
        <v>35</v>
      </c>
      <c r="F2" s="130" t="str">
        <f>+VLOOKUP(A2,'Estado SCI'!$A$16:$I$59,9,0)</f>
        <v>Mantenimiento del control</v>
      </c>
      <c r="G2" s="130">
        <f>+VLOOKUP(A2,'Estado SCI'!$A$16:$L$59,12,0)</f>
        <v>20.123000000000001</v>
      </c>
      <c r="H2" s="130">
        <f t="shared" ref="H2:H45" si="0">+_xlfn.RANK.EQ(G2,$G$2:$G$45,1)</f>
        <v>2</v>
      </c>
      <c r="I2" s="130" t="str">
        <f>+IF(VLOOKUP(A2,'Estado SCI'!$A$16:$G$59,7,0)="","",VLOOKUP(A2,'Estado SCI'!$A$16:$G$59,7,0))</f>
        <v>Si</v>
      </c>
      <c r="J2" s="131">
        <f>+IF(I2="Si",1,IF(I2="En proceso",0.5,0))</f>
        <v>1</v>
      </c>
      <c r="K2" s="132">
        <f t="shared" ref="K2:K45" si="1">+AVERAGEIF($B$2:$B$45,B2,$J$2:$J$45)</f>
        <v>0.95833333333333337</v>
      </c>
    </row>
    <row r="3" spans="1:11" x14ac:dyDescent="0.25">
      <c r="A3" s="130" t="s">
        <v>144</v>
      </c>
      <c r="B3" s="130" t="s">
        <v>32</v>
      </c>
      <c r="C3" s="130" t="s">
        <v>33</v>
      </c>
      <c r="D3" s="130" t="s">
        <v>37</v>
      </c>
      <c r="E3" s="130" t="s">
        <v>38</v>
      </c>
      <c r="F3" s="130" t="str">
        <f>+VLOOKUP(A3,'Estado SCI'!$A$16:$I$59,9,0)</f>
        <v>Mantenimiento del control</v>
      </c>
      <c r="G3" s="130">
        <f>+VLOOKUP(A3,'Estado SCI'!$A$16:$L$59,12,0)</f>
        <v>20.1234</v>
      </c>
      <c r="H3" s="130">
        <f t="shared" si="0"/>
        <v>3</v>
      </c>
      <c r="I3" s="130" t="str">
        <f>+IF(VLOOKUP(A3,'Estado SCI'!$A$16:$G$59,7,0)="","",VLOOKUP(A3,'Estado SCI'!$A$16:$G$59,7,0))</f>
        <v>Si</v>
      </c>
      <c r="J3" s="131">
        <f t="shared" ref="J3:J45" si="2">+IF(I3="Si",1,IF(I3="En proceso",0.5,0))</f>
        <v>1</v>
      </c>
      <c r="K3" s="132">
        <f t="shared" si="1"/>
        <v>0.95833333333333337</v>
      </c>
    </row>
    <row r="4" spans="1:11" x14ac:dyDescent="0.25">
      <c r="A4" s="130" t="s">
        <v>145</v>
      </c>
      <c r="B4" s="130" t="s">
        <v>32</v>
      </c>
      <c r="C4" s="130" t="s">
        <v>33</v>
      </c>
      <c r="D4" s="130" t="s">
        <v>40</v>
      </c>
      <c r="E4" s="130" t="s">
        <v>41</v>
      </c>
      <c r="F4" s="130" t="str">
        <f>+VLOOKUP(A4,'Estado SCI'!$A$16:$I$59,9,0)</f>
        <v>Mantenimiento del control</v>
      </c>
      <c r="G4" s="130">
        <f>+VLOOKUP(A4,'Estado SCI'!$A$16:$L$59,12,0)</f>
        <v>20.123449999999998</v>
      </c>
      <c r="H4" s="130">
        <f t="shared" si="0"/>
        <v>4</v>
      </c>
      <c r="I4" s="130" t="str">
        <f>+IF(VLOOKUP(A4,'Estado SCI'!$A$16:$G$59,7,0)="","",VLOOKUP(A4,'Estado SCI'!$A$16:$G$59,7,0))</f>
        <v>Si</v>
      </c>
      <c r="J4" s="131">
        <f t="shared" si="2"/>
        <v>1</v>
      </c>
      <c r="K4" s="132">
        <f t="shared" si="1"/>
        <v>0.95833333333333337</v>
      </c>
    </row>
    <row r="5" spans="1:11" x14ac:dyDescent="0.25">
      <c r="A5" s="130" t="s">
        <v>146</v>
      </c>
      <c r="B5" s="130" t="s">
        <v>32</v>
      </c>
      <c r="C5" s="130" t="s">
        <v>33</v>
      </c>
      <c r="D5" s="130" t="s">
        <v>42</v>
      </c>
      <c r="E5" s="130" t="s">
        <v>43</v>
      </c>
      <c r="F5" s="130" t="str">
        <f>+VLOOKUP(A5,'Estado SCI'!$A$16:$I$59,9,0)</f>
        <v>Mantenimiento del control</v>
      </c>
      <c r="G5" s="130">
        <f>+VLOOKUP(A5,'Estado SCI'!$A$16:$L$59,12,0)</f>
        <v>20.123456000000001</v>
      </c>
      <c r="H5" s="130">
        <f t="shared" si="0"/>
        <v>5</v>
      </c>
      <c r="I5" s="130" t="str">
        <f>+IF(VLOOKUP(A5,'Estado SCI'!$A$16:$G$59,7,0)="","",VLOOKUP(A5,'Estado SCI'!$A$16:$G$59,7,0))</f>
        <v>Si</v>
      </c>
      <c r="J5" s="131">
        <f t="shared" si="2"/>
        <v>1</v>
      </c>
      <c r="K5" s="132">
        <f t="shared" si="1"/>
        <v>0.95833333333333337</v>
      </c>
    </row>
    <row r="6" spans="1:11" x14ac:dyDescent="0.25">
      <c r="A6" s="130" t="s">
        <v>147</v>
      </c>
      <c r="B6" s="130" t="s">
        <v>32</v>
      </c>
      <c r="C6" s="130" t="s">
        <v>33</v>
      </c>
      <c r="D6" s="130" t="s">
        <v>44</v>
      </c>
      <c r="E6" s="130" t="s">
        <v>45</v>
      </c>
      <c r="F6" s="130" t="str">
        <f>+VLOOKUP(A6,'Estado SCI'!$A$16:$I$59,9,0)</f>
        <v>Mantenimiento del control</v>
      </c>
      <c r="G6" s="130">
        <f>+VLOOKUP(A6,'Estado SCI'!$A$16:$L$59,12,0)</f>
        <v>20.123456780000001</v>
      </c>
      <c r="H6" s="130">
        <f t="shared" si="0"/>
        <v>6</v>
      </c>
      <c r="I6" s="130" t="str">
        <f>+IF(VLOOKUP(A6,'Estado SCI'!$A$16:$G$59,7,0)="","",VLOOKUP(A6,'Estado SCI'!$A$16:$G$59,7,0))</f>
        <v>Si</v>
      </c>
      <c r="J6" s="131">
        <f t="shared" si="2"/>
        <v>1</v>
      </c>
      <c r="K6" s="132">
        <f t="shared" si="1"/>
        <v>0.95833333333333337</v>
      </c>
    </row>
    <row r="7" spans="1:11" x14ac:dyDescent="0.25">
      <c r="A7" s="130" t="s">
        <v>148</v>
      </c>
      <c r="B7" s="130" t="s">
        <v>32</v>
      </c>
      <c r="C7" s="130" t="s">
        <v>33</v>
      </c>
      <c r="D7" s="130" t="s">
        <v>46</v>
      </c>
      <c r="E7" s="130" t="s">
        <v>47</v>
      </c>
      <c r="F7" s="130" t="str">
        <f>+VLOOKUP(A7,'Estado SCI'!$A$16:$I$59,9,0)</f>
        <v>Oportunidad de mejora</v>
      </c>
      <c r="G7" s="130">
        <f>+VLOOKUP(A7,'Estado SCI'!$A$16:$L$59,12,0)</f>
        <v>10.123456789</v>
      </c>
      <c r="H7" s="130">
        <f t="shared" si="0"/>
        <v>1</v>
      </c>
      <c r="I7" s="130" t="str">
        <f>+IF(VLOOKUP(A7,'Estado SCI'!$A$16:$G$59,7,0)="","",VLOOKUP(A7,'Estado SCI'!$A$16:$G$59,7,0))</f>
        <v>En proceso</v>
      </c>
      <c r="J7" s="131">
        <f t="shared" si="2"/>
        <v>0.5</v>
      </c>
      <c r="K7" s="132">
        <f t="shared" si="1"/>
        <v>0.95833333333333337</v>
      </c>
    </row>
    <row r="8" spans="1:11" x14ac:dyDescent="0.25">
      <c r="A8" s="130" t="s">
        <v>149</v>
      </c>
      <c r="B8" s="130" t="s">
        <v>32</v>
      </c>
      <c r="C8" s="130" t="s">
        <v>33</v>
      </c>
      <c r="D8" s="130" t="s">
        <v>48</v>
      </c>
      <c r="E8" s="130" t="s">
        <v>49</v>
      </c>
      <c r="F8" s="130" t="str">
        <f>+VLOOKUP(A8,'Estado SCI'!$A$16:$I$59,9,0)</f>
        <v>Mantenimiento del control</v>
      </c>
      <c r="G8" s="130">
        <f>+VLOOKUP(A8,'Estado SCI'!$A$16:$L$59,12,0)</f>
        <v>20.1234567891</v>
      </c>
      <c r="H8" s="130">
        <f t="shared" si="0"/>
        <v>7</v>
      </c>
      <c r="I8" s="130" t="str">
        <f>+IF(VLOOKUP(A8,'Estado SCI'!$A$16:$G$59,7,0)="","",VLOOKUP(A8,'Estado SCI'!$A$16:$G$59,7,0))</f>
        <v>Si</v>
      </c>
      <c r="J8" s="131">
        <f t="shared" si="2"/>
        <v>1</v>
      </c>
      <c r="K8" s="132">
        <f t="shared" si="1"/>
        <v>0.95833333333333337</v>
      </c>
    </row>
    <row r="9" spans="1:11" x14ac:dyDescent="0.25">
      <c r="A9" s="130" t="s">
        <v>150</v>
      </c>
      <c r="B9" s="130" t="s">
        <v>32</v>
      </c>
      <c r="C9" s="130" t="s">
        <v>33</v>
      </c>
      <c r="D9" s="130" t="s">
        <v>50</v>
      </c>
      <c r="E9" s="130" t="s">
        <v>51</v>
      </c>
      <c r="F9" s="130" t="str">
        <f>+VLOOKUP(A9,'Estado SCI'!$A$16:$I$59,9,0)</f>
        <v>Mantenimiento del control</v>
      </c>
      <c r="G9" s="130">
        <f>+VLOOKUP(A9,'Estado SCI'!$A$16:$L$59,12,0)</f>
        <v>20.123456789119999</v>
      </c>
      <c r="H9" s="130">
        <f t="shared" si="0"/>
        <v>8</v>
      </c>
      <c r="I9" s="130" t="str">
        <f>+IF(VLOOKUP(A9,'Estado SCI'!$A$16:$G$59,7,0)="","",VLOOKUP(A9,'Estado SCI'!$A$16:$G$59,7,0))</f>
        <v>Si</v>
      </c>
      <c r="J9" s="131">
        <f t="shared" si="2"/>
        <v>1</v>
      </c>
      <c r="K9" s="132">
        <f t="shared" si="1"/>
        <v>0.95833333333333337</v>
      </c>
    </row>
    <row r="10" spans="1:11" x14ac:dyDescent="0.25">
      <c r="A10" s="130" t="s">
        <v>151</v>
      </c>
      <c r="B10" s="130" t="s">
        <v>32</v>
      </c>
      <c r="C10" s="130" t="s">
        <v>33</v>
      </c>
      <c r="D10" s="130" t="s">
        <v>52</v>
      </c>
      <c r="E10" s="130" t="s">
        <v>53</v>
      </c>
      <c r="F10" s="130" t="str">
        <f>+VLOOKUP(A10,'Estado SCI'!$A$16:$I$59,9,0)</f>
        <v>Mantenimiento del control</v>
      </c>
      <c r="G10" s="130">
        <f>+VLOOKUP(A10,'Estado SCI'!$A$16:$L$59,12,0)</f>
        <v>20.123456789123001</v>
      </c>
      <c r="H10" s="130">
        <f t="shared" si="0"/>
        <v>9</v>
      </c>
      <c r="I10" s="130" t="str">
        <f>+IF(VLOOKUP(A10,'Estado SCI'!$A$16:$G$59,7,0)="","",VLOOKUP(A10,'Estado SCI'!$A$16:$G$59,7,0))</f>
        <v>Si</v>
      </c>
      <c r="J10" s="131">
        <f t="shared" si="2"/>
        <v>1</v>
      </c>
      <c r="K10" s="132">
        <f t="shared" si="1"/>
        <v>0.95833333333333337</v>
      </c>
    </row>
    <row r="11" spans="1:11" x14ac:dyDescent="0.25">
      <c r="A11" s="130" t="s">
        <v>152</v>
      </c>
      <c r="B11" s="130" t="s">
        <v>32</v>
      </c>
      <c r="C11" s="130" t="s">
        <v>33</v>
      </c>
      <c r="D11" s="130" t="s">
        <v>54</v>
      </c>
      <c r="E11" s="130" t="s">
        <v>55</v>
      </c>
      <c r="F11" s="130" t="str">
        <f>+VLOOKUP(A11,'Estado SCI'!$A$16:$I$59,9,0)</f>
        <v>Mantenimiento del control</v>
      </c>
      <c r="G11" s="130">
        <f>+VLOOKUP(A11,'Estado SCI'!$A$16:$L$59,12,0)</f>
        <v>20.123456789123399</v>
      </c>
      <c r="H11" s="130">
        <f t="shared" si="0"/>
        <v>10</v>
      </c>
      <c r="I11" s="130" t="str">
        <f>+IF(VLOOKUP(A11,'Estado SCI'!$A$16:$G$59,7,0)="","",VLOOKUP(A11,'Estado SCI'!$A$16:$G$59,7,0))</f>
        <v>Si</v>
      </c>
      <c r="J11" s="131">
        <f t="shared" si="2"/>
        <v>1</v>
      </c>
      <c r="K11" s="132">
        <f t="shared" si="1"/>
        <v>0.95833333333333337</v>
      </c>
    </row>
    <row r="12" spans="1:11" x14ac:dyDescent="0.25">
      <c r="A12" s="130" t="s">
        <v>153</v>
      </c>
      <c r="B12" s="130" t="s">
        <v>32</v>
      </c>
      <c r="C12" s="130" t="s">
        <v>33</v>
      </c>
      <c r="D12" s="130" t="s">
        <v>56</v>
      </c>
      <c r="E12" s="130" t="s">
        <v>57</v>
      </c>
      <c r="F12" s="130" t="str">
        <f>+VLOOKUP(A12,'Estado SCI'!$A$16:$I$59,9,0)</f>
        <v>Mantenimiento del control</v>
      </c>
      <c r="G12" s="130">
        <f>+VLOOKUP(A12,'Estado SCI'!$A$16:$L$59,12,0)</f>
        <v>20.123456789123448</v>
      </c>
      <c r="H12" s="130">
        <f t="shared" si="0"/>
        <v>11</v>
      </c>
      <c r="I12" s="130" t="str">
        <f>+IF(VLOOKUP(A12,'Estado SCI'!$A$16:$G$59,7,0)="","",VLOOKUP(A12,'Estado SCI'!$A$16:$G$59,7,0))</f>
        <v>Si</v>
      </c>
      <c r="J12" s="131">
        <f t="shared" si="2"/>
        <v>1</v>
      </c>
      <c r="K12" s="132">
        <f t="shared" si="1"/>
        <v>0.95833333333333337</v>
      </c>
    </row>
    <row r="13" spans="1:11" x14ac:dyDescent="0.25">
      <c r="A13" s="130" t="s">
        <v>154</v>
      </c>
      <c r="B13" s="130" t="s">
        <v>32</v>
      </c>
      <c r="C13" s="130" t="s">
        <v>33</v>
      </c>
      <c r="D13" s="130" t="s">
        <v>58</v>
      </c>
      <c r="E13" s="130" t="s">
        <v>59</v>
      </c>
      <c r="F13" s="130" t="str">
        <f>+VLOOKUP(A13,'Estado SCI'!$A$16:$I$59,9,0)</f>
        <v>Mantenimiento del control</v>
      </c>
      <c r="G13" s="130">
        <f>+VLOOKUP(A13,'Estado SCI'!$A$16:$L$59,12,0)</f>
        <v>20.123456789123455</v>
      </c>
      <c r="H13" s="130">
        <f t="shared" si="0"/>
        <v>12</v>
      </c>
      <c r="I13" s="130" t="str">
        <f>+IF(VLOOKUP(A13,'Estado SCI'!$A$16:$G$59,7,0)="","",VLOOKUP(A13,'Estado SCI'!$A$16:$G$59,7,0))</f>
        <v>Si</v>
      </c>
      <c r="J13" s="131">
        <f t="shared" si="2"/>
        <v>1</v>
      </c>
      <c r="K13" s="132">
        <f t="shared" si="1"/>
        <v>0.95833333333333337</v>
      </c>
    </row>
    <row r="14" spans="1:11" ht="15" customHeight="1" x14ac:dyDescent="0.25">
      <c r="A14" s="130" t="s">
        <v>155</v>
      </c>
      <c r="B14" s="130" t="str">
        <f>+VLOOKUP(A14,'Estado SCI'!$A$16:$C$59,3,0)</f>
        <v>EVALUACION DEL RIESGO</v>
      </c>
      <c r="C14" s="130" t="s">
        <v>62</v>
      </c>
      <c r="D14" s="130" t="s">
        <v>34</v>
      </c>
      <c r="E14" s="130" t="s">
        <v>156</v>
      </c>
      <c r="F14" s="130" t="str">
        <f>+VLOOKUP(A14,'Estado SCI'!$A$16:$I$59,9,0)</f>
        <v>Oportunidad de mejora</v>
      </c>
      <c r="G14" s="130">
        <f>+VLOOKUP(A14,'Estado SCI'!$A$16:$L$59,12,0)</f>
        <v>30.23</v>
      </c>
      <c r="H14" s="130">
        <f t="shared" si="0"/>
        <v>14</v>
      </c>
      <c r="I14" s="130" t="str">
        <f>+IF(VLOOKUP(A14,'Estado SCI'!$A$16:$G$59,7,0)="","",VLOOKUP(A14,'Estado SCI'!$A$16:$G$59,7,0))</f>
        <v>En proceso</v>
      </c>
      <c r="J14" s="131">
        <f t="shared" si="2"/>
        <v>0.5</v>
      </c>
      <c r="K14" s="132">
        <f t="shared" si="1"/>
        <v>0.8</v>
      </c>
    </row>
    <row r="15" spans="1:11" ht="15" customHeight="1" x14ac:dyDescent="0.25">
      <c r="A15" s="130" t="s">
        <v>157</v>
      </c>
      <c r="B15" s="130" t="s">
        <v>61</v>
      </c>
      <c r="C15" s="130" t="s">
        <v>62</v>
      </c>
      <c r="D15" s="130" t="s">
        <v>37</v>
      </c>
      <c r="E15" s="130" t="s">
        <v>158</v>
      </c>
      <c r="F15" s="130" t="str">
        <f>+VLOOKUP(A15,'Estado SCI'!$A$16:$I$59,9,0)</f>
        <v>Mantenimiento del control</v>
      </c>
      <c r="G15" s="130">
        <f>+VLOOKUP(A15,'Estado SCI'!$A$16:$L$59,12,0)</f>
        <v>40.234000000000002</v>
      </c>
      <c r="H15" s="130">
        <f t="shared" si="0"/>
        <v>16</v>
      </c>
      <c r="I15" s="130" t="str">
        <f>+IF(VLOOKUP(A15,'Estado SCI'!$A$16:$G$59,7,0)="","",VLOOKUP(A15,'Estado SCI'!$A$16:$G$59,7,0))</f>
        <v>Si</v>
      </c>
      <c r="J15" s="131">
        <f t="shared" si="2"/>
        <v>1</v>
      </c>
      <c r="K15" s="132">
        <f t="shared" si="1"/>
        <v>0.8</v>
      </c>
    </row>
    <row r="16" spans="1:11" ht="15" customHeight="1" x14ac:dyDescent="0.25">
      <c r="A16" s="130" t="s">
        <v>159</v>
      </c>
      <c r="B16" s="130" t="s">
        <v>61</v>
      </c>
      <c r="C16" s="130" t="s">
        <v>62</v>
      </c>
      <c r="D16" s="130" t="s">
        <v>40</v>
      </c>
      <c r="E16" s="130" t="s">
        <v>160</v>
      </c>
      <c r="F16" s="130" t="str">
        <f>+VLOOKUP(A16,'Estado SCI'!$A$16:$I$59,9,0)</f>
        <v>Mantenimiento del control</v>
      </c>
      <c r="G16" s="130">
        <f>+VLOOKUP(A16,'Estado SCI'!$A$16:$L$59,12,0)</f>
        <v>40.234499999999997</v>
      </c>
      <c r="H16" s="130">
        <f t="shared" si="0"/>
        <v>17</v>
      </c>
      <c r="I16" s="130" t="str">
        <f>+IF(VLOOKUP(A16,'Estado SCI'!$A$16:$G$59,7,0)="","",VLOOKUP(A16,'Estado SCI'!$A$16:$G$59,7,0))</f>
        <v>Si</v>
      </c>
      <c r="J16" s="131">
        <f t="shared" si="2"/>
        <v>1</v>
      </c>
      <c r="K16" s="132">
        <f t="shared" si="1"/>
        <v>0.8</v>
      </c>
    </row>
    <row r="17" spans="1:11" ht="15.75" customHeight="1" x14ac:dyDescent="0.25">
      <c r="A17" s="130" t="s">
        <v>161</v>
      </c>
      <c r="B17" s="130" t="s">
        <v>61</v>
      </c>
      <c r="C17" s="130" t="s">
        <v>62</v>
      </c>
      <c r="D17" s="130" t="s">
        <v>42</v>
      </c>
      <c r="E17" s="130" t="s">
        <v>66</v>
      </c>
      <c r="F17" s="130" t="str">
        <f>+VLOOKUP(A17,'Estado SCI'!$A$16:$I$59,9,0)</f>
        <v>Oportunidad de mejora</v>
      </c>
      <c r="G17" s="130">
        <f>+VLOOKUP(A17,'Estado SCI'!$A$16:$L$59,12,0)</f>
        <v>30.234559999999998</v>
      </c>
      <c r="H17" s="130">
        <f t="shared" si="0"/>
        <v>15</v>
      </c>
      <c r="I17" s="130" t="str">
        <f>+IF(VLOOKUP(A17,'Estado SCI'!$A$16:$G$59,7,0)="","",VLOOKUP(A17,'Estado SCI'!$A$16:$G$59,7,0))</f>
        <v>En proceso</v>
      </c>
      <c r="J17" s="131">
        <f t="shared" si="2"/>
        <v>0.5</v>
      </c>
      <c r="K17" s="132">
        <f t="shared" si="1"/>
        <v>0.8</v>
      </c>
    </row>
    <row r="18" spans="1:11" ht="15" customHeight="1" x14ac:dyDescent="0.25">
      <c r="A18" s="130" t="s">
        <v>162</v>
      </c>
      <c r="B18" s="130" t="s">
        <v>61</v>
      </c>
      <c r="C18" s="130" t="s">
        <v>80</v>
      </c>
      <c r="D18" s="130" t="s">
        <v>34</v>
      </c>
      <c r="E18" s="130" t="s">
        <v>69</v>
      </c>
      <c r="F18" s="130" t="str">
        <f>+VLOOKUP(A18,'Estado SCI'!$A$16:$I$59,9,0)</f>
        <v>Mantenimiento del control</v>
      </c>
      <c r="G18" s="130">
        <f>+VLOOKUP(A18,'Estado SCI'!$A$16:$L$59,12,0)</f>
        <v>40.234566999999998</v>
      </c>
      <c r="H18" s="130">
        <f t="shared" si="0"/>
        <v>18</v>
      </c>
      <c r="I18" s="130" t="str">
        <f>+IF(VLOOKUP(A18,'Estado SCI'!$A$16:$G$59,7,0)="","",VLOOKUP(A18,'Estado SCI'!$A$16:$G$59,7,0))</f>
        <v>Si</v>
      </c>
      <c r="J18" s="131">
        <f t="shared" si="2"/>
        <v>1</v>
      </c>
      <c r="K18" s="132">
        <f t="shared" si="1"/>
        <v>0.8</v>
      </c>
    </row>
    <row r="19" spans="1:11" ht="15" customHeight="1" x14ac:dyDescent="0.25">
      <c r="A19" s="130" t="s">
        <v>163</v>
      </c>
      <c r="B19" s="130" t="s">
        <v>61</v>
      </c>
      <c r="C19" s="130" t="s">
        <v>80</v>
      </c>
      <c r="D19" s="130" t="s">
        <v>37</v>
      </c>
      <c r="E19" s="130" t="s">
        <v>70</v>
      </c>
      <c r="F19" s="130" t="str">
        <f>+VLOOKUP(A19,'Estado SCI'!$A$16:$I$59,9,0)</f>
        <v>Mantenimiento del control</v>
      </c>
      <c r="G19" s="130">
        <f>+VLOOKUP(A19,'Estado SCI'!$A$16:$L$59,12,0)</f>
        <v>40.234567800000001</v>
      </c>
      <c r="H19" s="130">
        <f t="shared" si="0"/>
        <v>19</v>
      </c>
      <c r="I19" s="130" t="str">
        <f>+IF(VLOOKUP(A19,'Estado SCI'!$A$16:$G$59,7,0)="","",VLOOKUP(A19,'Estado SCI'!$A$16:$G$59,7,0))</f>
        <v>Si</v>
      </c>
      <c r="J19" s="131">
        <f t="shared" si="2"/>
        <v>1</v>
      </c>
      <c r="K19" s="132">
        <f t="shared" si="1"/>
        <v>0.8</v>
      </c>
    </row>
    <row r="20" spans="1:11" ht="15" customHeight="1" x14ac:dyDescent="0.25">
      <c r="A20" s="130" t="s">
        <v>164</v>
      </c>
      <c r="B20" s="130" t="s">
        <v>61</v>
      </c>
      <c r="C20" s="130" t="s">
        <v>80</v>
      </c>
      <c r="D20" s="130" t="s">
        <v>40</v>
      </c>
      <c r="E20" s="130" t="s">
        <v>71</v>
      </c>
      <c r="F20" s="130" t="str">
        <f>+VLOOKUP(A20,'Estado SCI'!$A$16:$I$59,9,0)</f>
        <v>Mantenimiento del control</v>
      </c>
      <c r="G20" s="130">
        <f>+VLOOKUP(A20,'Estado SCI'!$A$16:$L$59,12,0)</f>
        <v>40.234567890000001</v>
      </c>
      <c r="H20" s="130">
        <f t="shared" si="0"/>
        <v>20</v>
      </c>
      <c r="I20" s="130" t="str">
        <f>+IF(VLOOKUP(A20,'Estado SCI'!$A$16:$G$59,7,0)="","",VLOOKUP(A20,'Estado SCI'!$A$16:$G$59,7,0))</f>
        <v>Si</v>
      </c>
      <c r="J20" s="131">
        <f t="shared" si="2"/>
        <v>1</v>
      </c>
      <c r="K20" s="132">
        <f t="shared" si="1"/>
        <v>0.8</v>
      </c>
    </row>
    <row r="21" spans="1:11" ht="15.75" customHeight="1" x14ac:dyDescent="0.25">
      <c r="A21" s="130" t="s">
        <v>165</v>
      </c>
      <c r="B21" s="130" t="s">
        <v>61</v>
      </c>
      <c r="C21" s="130" t="s">
        <v>80</v>
      </c>
      <c r="D21" s="130" t="s">
        <v>34</v>
      </c>
      <c r="E21" s="130" t="s">
        <v>74</v>
      </c>
      <c r="F21" s="130" t="str">
        <f>+VLOOKUP(A21,'Estado SCI'!$A$16:$I$59,9,0)</f>
        <v>Mantenimiento del control</v>
      </c>
      <c r="G21" s="130">
        <f>+VLOOKUP(A21,'Estado SCI'!$A$16:$L$59,12,0)</f>
        <v>40.234567891200001</v>
      </c>
      <c r="H21" s="130">
        <f t="shared" si="0"/>
        <v>21</v>
      </c>
      <c r="I21" s="130" t="str">
        <f>+IF(VLOOKUP(A21,'Estado SCI'!$A$16:$G$59,7,0)="","",VLOOKUP(A21,'Estado SCI'!$A$16:$G$59,7,0))</f>
        <v>Si</v>
      </c>
      <c r="J21" s="131">
        <f t="shared" si="2"/>
        <v>1</v>
      </c>
      <c r="K21" s="132">
        <f t="shared" si="1"/>
        <v>0.8</v>
      </c>
    </row>
    <row r="22" spans="1:11" ht="15" customHeight="1" x14ac:dyDescent="0.25">
      <c r="A22" s="130" t="s">
        <v>166</v>
      </c>
      <c r="B22" s="130" t="s">
        <v>61</v>
      </c>
      <c r="C22" s="130" t="s">
        <v>88</v>
      </c>
      <c r="D22" s="130" t="s">
        <v>37</v>
      </c>
      <c r="E22" s="130" t="s">
        <v>75</v>
      </c>
      <c r="F22" s="130" t="str">
        <f>+VLOOKUP(A22,'Estado SCI'!$A$16:$I$59,9,0)</f>
        <v>Mantenimiento del control</v>
      </c>
      <c r="G22" s="130">
        <f>+VLOOKUP(A22,'Estado SCI'!$A$16:$L$59,12,0)</f>
        <v>40.23456789123</v>
      </c>
      <c r="H22" s="130">
        <f t="shared" si="0"/>
        <v>22</v>
      </c>
      <c r="I22" s="130" t="str">
        <f>+IF(VLOOKUP(A22,'Estado SCI'!$A$16:$G$59,7,0)="","",VLOOKUP(A22,'Estado SCI'!$A$16:$G$59,7,0))</f>
        <v>Si</v>
      </c>
      <c r="J22" s="131">
        <f t="shared" si="2"/>
        <v>1</v>
      </c>
      <c r="K22" s="132">
        <f t="shared" si="1"/>
        <v>0.8</v>
      </c>
    </row>
    <row r="23" spans="1:11" ht="15" customHeight="1" x14ac:dyDescent="0.25">
      <c r="A23" s="130" t="s">
        <v>167</v>
      </c>
      <c r="B23" s="130" t="s">
        <v>61</v>
      </c>
      <c r="C23" s="130" t="s">
        <v>88</v>
      </c>
      <c r="D23" s="130" t="s">
        <v>40</v>
      </c>
      <c r="E23" s="130" t="s">
        <v>77</v>
      </c>
      <c r="F23" s="130" t="str">
        <f>+VLOOKUP(A23,'Estado SCI'!$A$16:$I$59,9,0)</f>
        <v>Deficiencia de control</v>
      </c>
      <c r="G23" s="130">
        <f>+VLOOKUP(A23,'Estado SCI'!$A$16:$L$59,12,0)</f>
        <v>20.234567891234001</v>
      </c>
      <c r="H23" s="130">
        <f t="shared" si="0"/>
        <v>13</v>
      </c>
      <c r="I23" s="130" t="str">
        <f>+IF(VLOOKUP(A23,'Estado SCI'!$A$16:$G$59,7,0)="","",VLOOKUP(A23,'Estado SCI'!$A$16:$G$59,7,0))</f>
        <v>No</v>
      </c>
      <c r="J23" s="131">
        <f t="shared" si="2"/>
        <v>0</v>
      </c>
      <c r="K23" s="132">
        <f t="shared" si="1"/>
        <v>0.8</v>
      </c>
    </row>
    <row r="24" spans="1:11" ht="15" customHeight="1" x14ac:dyDescent="0.25">
      <c r="A24" s="130" t="s">
        <v>168</v>
      </c>
      <c r="B24" s="130" t="str">
        <f>+VLOOKUP(A24,'Estado SCI'!$A$16:$C$59,3,0)</f>
        <v>ACTIVIDADES DE CONTROL</v>
      </c>
      <c r="C24" s="130" t="s">
        <v>88</v>
      </c>
      <c r="D24" s="130" t="s">
        <v>34</v>
      </c>
      <c r="E24" s="130" t="s">
        <v>81</v>
      </c>
      <c r="F24" s="130" t="str">
        <f>+VLOOKUP(A24,'Estado SCI'!$A$16:$I$59,9,0)</f>
        <v>Mantenimiento del control</v>
      </c>
      <c r="G24" s="130">
        <f>+VLOOKUP(A24,'Estado SCI'!$A$16:$L$59,12,0)</f>
        <v>60.31</v>
      </c>
      <c r="H24" s="130">
        <f t="shared" si="0"/>
        <v>23</v>
      </c>
      <c r="I24" s="130" t="str">
        <f>+IF(VLOOKUP(A24,'Estado SCI'!$A$16:$G$59,7,0)="","",VLOOKUP(A24,'Estado SCI'!$A$16:$G$59,7,0))</f>
        <v>Si</v>
      </c>
      <c r="J24" s="131">
        <f t="shared" si="2"/>
        <v>1</v>
      </c>
      <c r="K24" s="132">
        <f t="shared" si="1"/>
        <v>1</v>
      </c>
    </row>
    <row r="25" spans="1:11" ht="15" customHeight="1" x14ac:dyDescent="0.25">
      <c r="A25" s="130" t="s">
        <v>169</v>
      </c>
      <c r="B25" s="130" t="s">
        <v>79</v>
      </c>
      <c r="C25" s="130" t="s">
        <v>88</v>
      </c>
      <c r="D25" s="130" t="s">
        <v>37</v>
      </c>
      <c r="E25" s="130" t="s">
        <v>82</v>
      </c>
      <c r="F25" s="130" t="str">
        <f>+VLOOKUP(A25,'Estado SCI'!$A$16:$I$59,9,0)</f>
        <v>Mantenimiento del control</v>
      </c>
      <c r="G25" s="130">
        <f>+VLOOKUP(A25,'Estado SCI'!$A$16:$L$59,12,0)</f>
        <v>60.323</v>
      </c>
      <c r="H25" s="130">
        <f t="shared" si="0"/>
        <v>24</v>
      </c>
      <c r="I25" s="130" t="str">
        <f>+IF(VLOOKUP(A25,'Estado SCI'!$A$16:$G$59,7,0)="","",VLOOKUP(A25,'Estado SCI'!$A$16:$G$59,7,0))</f>
        <v>Si</v>
      </c>
      <c r="J25" s="131">
        <f t="shared" si="2"/>
        <v>1</v>
      </c>
      <c r="K25" s="132">
        <f t="shared" si="1"/>
        <v>1</v>
      </c>
    </row>
    <row r="26" spans="1:11" ht="15" customHeight="1" x14ac:dyDescent="0.25">
      <c r="A26" s="130" t="s">
        <v>170</v>
      </c>
      <c r="B26" s="130" t="s">
        <v>79</v>
      </c>
      <c r="C26" s="130" t="s">
        <v>88</v>
      </c>
      <c r="D26" s="130" t="s">
        <v>40</v>
      </c>
      <c r="E26" s="130" t="s">
        <v>83</v>
      </c>
      <c r="F26" s="130" t="str">
        <f>+VLOOKUP(A26,'Estado SCI'!$A$16:$I$59,9,0)</f>
        <v>Mantenimiento del control</v>
      </c>
      <c r="G26" s="130">
        <f>+VLOOKUP(A26,'Estado SCI'!$A$16:$L$59,12,0)</f>
        <v>60.323999999999998</v>
      </c>
      <c r="H26" s="130">
        <f t="shared" si="0"/>
        <v>25</v>
      </c>
      <c r="I26" s="130" t="str">
        <f>+IF(VLOOKUP(A26,'Estado SCI'!$A$16:$G$59,7,0)="","",VLOOKUP(A26,'Estado SCI'!$A$16:$G$59,7,0))</f>
        <v>Si</v>
      </c>
      <c r="J26" s="131">
        <f t="shared" si="2"/>
        <v>1</v>
      </c>
      <c r="K26" s="132">
        <f t="shared" si="1"/>
        <v>1</v>
      </c>
    </row>
    <row r="27" spans="1:11" ht="15.75" customHeight="1" x14ac:dyDescent="0.25">
      <c r="A27" s="130" t="s">
        <v>171</v>
      </c>
      <c r="B27" s="130" t="s">
        <v>79</v>
      </c>
      <c r="C27" s="130" t="s">
        <v>88</v>
      </c>
      <c r="D27" s="130" t="s">
        <v>42</v>
      </c>
      <c r="E27" s="130" t="s">
        <v>84</v>
      </c>
      <c r="F27" s="130" t="str">
        <f>+VLOOKUP(A27,'Estado SCI'!$A$16:$I$59,9,0)</f>
        <v>Mantenimiento del control</v>
      </c>
      <c r="G27" s="130">
        <f>+VLOOKUP(A27,'Estado SCI'!$A$16:$L$59,12,0)</f>
        <v>60.325000000000003</v>
      </c>
      <c r="H27" s="130">
        <f t="shared" si="0"/>
        <v>26</v>
      </c>
      <c r="I27" s="130" t="str">
        <f>+IF(VLOOKUP(A27,'Estado SCI'!$A$16:$G$59,7,0)="","",VLOOKUP(A27,'Estado SCI'!$A$16:$G$59,7,0))</f>
        <v>Si</v>
      </c>
      <c r="J27" s="131">
        <f t="shared" si="2"/>
        <v>1</v>
      </c>
      <c r="K27" s="132">
        <f t="shared" si="1"/>
        <v>1</v>
      </c>
    </row>
    <row r="28" spans="1:11" ht="15" customHeight="1" x14ac:dyDescent="0.25">
      <c r="A28" s="130" t="s">
        <v>172</v>
      </c>
      <c r="B28" s="130" t="s">
        <v>79</v>
      </c>
      <c r="C28" s="130" t="s">
        <v>98</v>
      </c>
      <c r="D28" s="130" t="s">
        <v>44</v>
      </c>
      <c r="E28" s="130" t="s">
        <v>85</v>
      </c>
      <c r="F28" s="130" t="str">
        <f>+VLOOKUP(A28,'Estado SCI'!$A$16:$I$59,9,0)</f>
        <v>Mantenimiento del control</v>
      </c>
      <c r="G28" s="130">
        <f>+VLOOKUP(A28,'Estado SCI'!$A$16:$L$59,12,0)</f>
        <v>60.326000000000001</v>
      </c>
      <c r="H28" s="130">
        <f t="shared" si="0"/>
        <v>27</v>
      </c>
      <c r="I28" s="130" t="str">
        <f>+IF(VLOOKUP(A28,'Estado SCI'!$A$16:$G$59,7,0)="","",VLOOKUP(A28,'Estado SCI'!$A$16:$G$59,7,0))</f>
        <v>Si</v>
      </c>
      <c r="J28" s="131">
        <f t="shared" si="2"/>
        <v>1</v>
      </c>
      <c r="K28" s="132">
        <f t="shared" si="1"/>
        <v>1</v>
      </c>
    </row>
    <row r="29" spans="1:11" ht="15" customHeight="1" x14ac:dyDescent="0.25">
      <c r="A29" s="130" t="s">
        <v>173</v>
      </c>
      <c r="B29" s="130" t="str">
        <f>+VLOOKUP(A29,'Estado SCI'!$A$16:$C$59,3,0)</f>
        <v>INFORMACION Y COMUNICACIÓN</v>
      </c>
      <c r="C29" s="130" t="s">
        <v>98</v>
      </c>
      <c r="D29" s="130" t="s">
        <v>34</v>
      </c>
      <c r="E29" s="130" t="s">
        <v>89</v>
      </c>
      <c r="F29" s="130" t="str">
        <f>+VLOOKUP(A29,'Estado SCI'!$A$16:$I$59,9,0)</f>
        <v>Mantenimiento del control</v>
      </c>
      <c r="G29" s="130">
        <f>+VLOOKUP(A29,'Estado SCI'!$A$16:$L$59,12,0)</f>
        <v>80.412000000000006</v>
      </c>
      <c r="H29" s="130">
        <f t="shared" si="0"/>
        <v>29</v>
      </c>
      <c r="I29" s="130" t="str">
        <f>+IF(VLOOKUP(A29,'Estado SCI'!$A$16:$G$59,7,0)="","",VLOOKUP(A29,'Estado SCI'!$A$16:$G$59,7,0))</f>
        <v>Si</v>
      </c>
      <c r="J29" s="131">
        <f t="shared" si="2"/>
        <v>1</v>
      </c>
      <c r="K29" s="132">
        <f t="shared" si="1"/>
        <v>0.9285714285714286</v>
      </c>
    </row>
    <row r="30" spans="1:11" ht="15" customHeight="1" x14ac:dyDescent="0.25">
      <c r="A30" s="130" t="s">
        <v>174</v>
      </c>
      <c r="B30" s="130" t="s">
        <v>87</v>
      </c>
      <c r="C30" s="130" t="s">
        <v>98</v>
      </c>
      <c r="D30" s="130" t="s">
        <v>37</v>
      </c>
      <c r="E30" s="130" t="s">
        <v>90</v>
      </c>
      <c r="F30" s="130" t="str">
        <f>+VLOOKUP(A30,'Estado SCI'!$A$16:$I$59,9,0)</f>
        <v>Mantenimiento del control</v>
      </c>
      <c r="G30" s="130">
        <f>+VLOOKUP(A30,'Estado SCI'!$A$16:$L$59,12,0)</f>
        <v>80.412300000000002</v>
      </c>
      <c r="H30" s="130">
        <f t="shared" si="0"/>
        <v>30</v>
      </c>
      <c r="I30" s="130" t="str">
        <f>+IF(VLOOKUP(A30,'Estado SCI'!$A$16:$G$59,7,0)="","",VLOOKUP(A30,'Estado SCI'!$A$16:$G$59,7,0))</f>
        <v>Si</v>
      </c>
      <c r="J30" s="131">
        <f t="shared" si="2"/>
        <v>1</v>
      </c>
      <c r="K30" s="132">
        <f t="shared" si="1"/>
        <v>0.9285714285714286</v>
      </c>
    </row>
    <row r="31" spans="1:11" ht="15.75" customHeight="1" x14ac:dyDescent="0.25">
      <c r="A31" s="130" t="s">
        <v>175</v>
      </c>
      <c r="B31" s="130" t="s">
        <v>87</v>
      </c>
      <c r="C31" s="130" t="s">
        <v>98</v>
      </c>
      <c r="D31" s="130" t="s">
        <v>40</v>
      </c>
      <c r="E31" s="130" t="s">
        <v>91</v>
      </c>
      <c r="F31" s="130" t="str">
        <f>+VLOOKUP(A31,'Estado SCI'!$A$16:$I$59,9,0)</f>
        <v>Mantenimiento del control</v>
      </c>
      <c r="G31" s="130">
        <f>+VLOOKUP(A31,'Estado SCI'!$A$16:$L$59,12,0)</f>
        <v>80.41234</v>
      </c>
      <c r="H31" s="130">
        <f t="shared" si="0"/>
        <v>31</v>
      </c>
      <c r="I31" s="130" t="str">
        <f>+IF(VLOOKUP(A31,'Estado SCI'!$A$16:$G$59,7,0)="","",VLOOKUP(A31,'Estado SCI'!$A$16:$G$59,7,0))</f>
        <v>Si</v>
      </c>
      <c r="J31" s="131">
        <f t="shared" si="2"/>
        <v>1</v>
      </c>
      <c r="K31" s="132">
        <f t="shared" si="1"/>
        <v>0.9285714285714286</v>
      </c>
    </row>
    <row r="32" spans="1:11" x14ac:dyDescent="0.25">
      <c r="A32" s="130" t="s">
        <v>176</v>
      </c>
      <c r="B32" s="130" t="s">
        <v>87</v>
      </c>
      <c r="C32" s="130" t="s">
        <v>104</v>
      </c>
      <c r="D32" s="130" t="s">
        <v>42</v>
      </c>
      <c r="E32" s="130" t="s">
        <v>92</v>
      </c>
      <c r="F32" s="130" t="str">
        <f>+VLOOKUP(A32,'Estado SCI'!$A$16:$I$59,9,0)</f>
        <v>Mantenimiento del control</v>
      </c>
      <c r="G32" s="130">
        <f>+VLOOKUP(A32,'Estado SCI'!$A$16:$L$59,12,0)</f>
        <v>80.412345000000002</v>
      </c>
      <c r="H32" s="130">
        <f t="shared" si="0"/>
        <v>32</v>
      </c>
      <c r="I32" s="130" t="str">
        <f>+IF(VLOOKUP(A32,'Estado SCI'!$A$16:$G$59,7,0)="","",VLOOKUP(A32,'Estado SCI'!$A$16:$G$59,7,0))</f>
        <v>Si</v>
      </c>
      <c r="J32" s="131">
        <f t="shared" si="2"/>
        <v>1</v>
      </c>
      <c r="K32" s="132">
        <f t="shared" si="1"/>
        <v>0.9285714285714286</v>
      </c>
    </row>
    <row r="33" spans="1:11" x14ac:dyDescent="0.25">
      <c r="A33" s="130" t="s">
        <v>177</v>
      </c>
      <c r="B33" s="130" t="s">
        <v>87</v>
      </c>
      <c r="C33" s="130" t="s">
        <v>178</v>
      </c>
      <c r="D33" s="130" t="s">
        <v>44</v>
      </c>
      <c r="E33" s="130" t="s">
        <v>93</v>
      </c>
      <c r="F33" s="130" t="str">
        <f>+VLOOKUP(A33,'Estado SCI'!$A$16:$I$59,9,0)</f>
        <v>Mantenimiento del control</v>
      </c>
      <c r="G33" s="130">
        <f>+VLOOKUP(A33,'Estado SCI'!$A$16:$L$59,12,0)</f>
        <v>80.412345599999995</v>
      </c>
      <c r="H33" s="130">
        <f t="shared" si="0"/>
        <v>33</v>
      </c>
      <c r="I33" s="130" t="str">
        <f>+IF(VLOOKUP(A33,'Estado SCI'!$A$16:$G$59,7,0)="","",VLOOKUP(A33,'Estado SCI'!$A$16:$G$59,7,0))</f>
        <v>Si</v>
      </c>
      <c r="J33" s="131">
        <f t="shared" si="2"/>
        <v>1</v>
      </c>
      <c r="K33" s="132">
        <f t="shared" si="1"/>
        <v>0.9285714285714286</v>
      </c>
    </row>
    <row r="34" spans="1:11" x14ac:dyDescent="0.25">
      <c r="A34" s="130" t="s">
        <v>179</v>
      </c>
      <c r="B34" s="130" t="s">
        <v>87</v>
      </c>
      <c r="C34" s="130" t="s">
        <v>178</v>
      </c>
      <c r="D34" s="130" t="s">
        <v>46</v>
      </c>
      <c r="E34" s="130" t="s">
        <v>94</v>
      </c>
      <c r="F34" s="130" t="str">
        <f>+VLOOKUP(A34,'Estado SCI'!$A$16:$I$59,9,0)</f>
        <v>Mantenimiento del control</v>
      </c>
      <c r="G34" s="130">
        <f>+VLOOKUP(A34,'Estado SCI'!$A$16:$L$59,12,0)</f>
        <v>80.412345669999993</v>
      </c>
      <c r="H34" s="130">
        <f t="shared" si="0"/>
        <v>34</v>
      </c>
      <c r="I34" s="130" t="str">
        <f>+IF(VLOOKUP(A34,'Estado SCI'!$A$16:$G$59,7,0)="","",VLOOKUP(A34,'Estado SCI'!$A$16:$G$59,7,0))</f>
        <v>Si</v>
      </c>
      <c r="J34" s="131">
        <f t="shared" si="2"/>
        <v>1</v>
      </c>
      <c r="K34" s="132">
        <f t="shared" si="1"/>
        <v>0.9285714285714286</v>
      </c>
    </row>
    <row r="35" spans="1:11" x14ac:dyDescent="0.25">
      <c r="A35" s="130" t="s">
        <v>180</v>
      </c>
      <c r="B35" s="130" t="s">
        <v>87</v>
      </c>
      <c r="C35" s="130" t="s">
        <v>178</v>
      </c>
      <c r="D35" s="130" t="s">
        <v>48</v>
      </c>
      <c r="E35" s="130" t="s">
        <v>95</v>
      </c>
      <c r="F35" s="130" t="str">
        <f>+VLOOKUP(A35,'Estado SCI'!$A$16:$I$59,9,0)</f>
        <v>Oportunidad de mejora</v>
      </c>
      <c r="G35" s="130">
        <f>+VLOOKUP(A35,'Estado SCI'!$A$16:$L$59,12,0)</f>
        <v>70.412345677999994</v>
      </c>
      <c r="H35" s="130">
        <f t="shared" si="0"/>
        <v>28</v>
      </c>
      <c r="I35" s="130" t="str">
        <f>+IF(VLOOKUP(A35,'Estado SCI'!$A$16:$G$59,7,0)="","",VLOOKUP(A35,'Estado SCI'!$A$16:$G$59,7,0))</f>
        <v>En proceso</v>
      </c>
      <c r="J35" s="131">
        <f t="shared" si="2"/>
        <v>0.5</v>
      </c>
      <c r="K35" s="132">
        <f t="shared" si="1"/>
        <v>0.9285714285714286</v>
      </c>
    </row>
    <row r="36" spans="1:11" x14ac:dyDescent="0.25">
      <c r="A36" s="130" t="s">
        <v>181</v>
      </c>
      <c r="B36" s="130" t="str">
        <f>+VLOOKUP(A36,'Estado SCI'!$A$16:$C$59,3,0)</f>
        <v>ACTIVIDADES DE MONITOREO</v>
      </c>
      <c r="C36" s="130" t="s">
        <v>178</v>
      </c>
      <c r="D36" s="130" t="s">
        <v>34</v>
      </c>
      <c r="E36" s="130" t="s">
        <v>99</v>
      </c>
      <c r="F36" s="130" t="str">
        <f>+VLOOKUP(A36,'Estado SCI'!$A$16:$I$59,9,0)</f>
        <v>Mantenimiento del control</v>
      </c>
      <c r="G36" s="130">
        <f>+VLOOKUP(A36,'Estado SCI'!$A$16:$L$59,12,0)</f>
        <v>120.851</v>
      </c>
      <c r="H36" s="130">
        <f t="shared" si="0"/>
        <v>36</v>
      </c>
      <c r="I36" s="130" t="str">
        <f>+IF(VLOOKUP(A36,'Estado SCI'!$A$16:$G$59,7,0)="","",VLOOKUP(A36,'Estado SCI'!$A$16:$G$59,7,0))</f>
        <v>Si</v>
      </c>
      <c r="J36" s="131">
        <f t="shared" si="2"/>
        <v>1</v>
      </c>
      <c r="K36" s="132">
        <f t="shared" si="1"/>
        <v>0.9</v>
      </c>
    </row>
    <row r="37" spans="1:11" x14ac:dyDescent="0.25">
      <c r="A37" s="130" t="s">
        <v>182</v>
      </c>
      <c r="B37" s="130" t="s">
        <v>97</v>
      </c>
      <c r="C37" s="130" t="s">
        <v>178</v>
      </c>
      <c r="D37" s="130" t="s">
        <v>42</v>
      </c>
      <c r="E37" s="130" t="s">
        <v>100</v>
      </c>
      <c r="F37" s="130" t="str">
        <f>+VLOOKUP(A37,'Estado SCI'!$A$16:$I$59,9,0)</f>
        <v>Mantenimiento del control</v>
      </c>
      <c r="G37" s="130">
        <f>+VLOOKUP(A37,'Estado SCI'!$A$16:$L$59,12,0)</f>
        <v>120.85120000000001</v>
      </c>
      <c r="H37" s="130">
        <f t="shared" si="0"/>
        <v>37</v>
      </c>
      <c r="I37" s="130" t="str">
        <f>+IF(VLOOKUP(A37,'Estado SCI'!$A$16:$G$59,7,0)="","",VLOOKUP(A37,'Estado SCI'!$A$16:$G$59,7,0))</f>
        <v>Si</v>
      </c>
      <c r="J37" s="131">
        <f t="shared" si="2"/>
        <v>1</v>
      </c>
      <c r="K37" s="132">
        <f t="shared" si="1"/>
        <v>0.9</v>
      </c>
    </row>
    <row r="38" spans="1:11" x14ac:dyDescent="0.25">
      <c r="A38" s="130" t="s">
        <v>183</v>
      </c>
      <c r="B38" s="130" t="s">
        <v>97</v>
      </c>
      <c r="C38" s="130" t="s">
        <v>68</v>
      </c>
      <c r="D38" s="130" t="s">
        <v>46</v>
      </c>
      <c r="E38" s="130" t="s">
        <v>101</v>
      </c>
      <c r="F38" s="130" t="str">
        <f>+VLOOKUP(A38,'Estado SCI'!$A$16:$I$59,9,0)</f>
        <v>Mantenimiento del control</v>
      </c>
      <c r="G38" s="130">
        <f>+VLOOKUP(A38,'Estado SCI'!$A$16:$L$59,12,0)</f>
        <v>120.85123</v>
      </c>
      <c r="H38" s="130">
        <f t="shared" si="0"/>
        <v>38</v>
      </c>
      <c r="I38" s="130" t="str">
        <f>+IF(VLOOKUP(A38,'Estado SCI'!$A$16:$G$59,7,0)="","",VLOOKUP(A38,'Estado SCI'!$A$16:$G$59,7,0))</f>
        <v>Si</v>
      </c>
      <c r="J38" s="131">
        <f t="shared" si="2"/>
        <v>1</v>
      </c>
      <c r="K38" s="132">
        <f t="shared" si="1"/>
        <v>0.9</v>
      </c>
    </row>
    <row r="39" spans="1:11" x14ac:dyDescent="0.25">
      <c r="A39" s="130" t="s">
        <v>184</v>
      </c>
      <c r="B39" s="130" t="s">
        <v>97</v>
      </c>
      <c r="C39" s="130" t="s">
        <v>68</v>
      </c>
      <c r="D39" s="130" t="s">
        <v>48</v>
      </c>
      <c r="E39" s="130" t="s">
        <v>102</v>
      </c>
      <c r="F39" s="130" t="str">
        <f>+VLOOKUP(A39,'Estado SCI'!$A$16:$I$59,9,0)</f>
        <v>Mantenimiento del control</v>
      </c>
      <c r="G39" s="130">
        <f>+VLOOKUP(A39,'Estado SCI'!$A$16:$L$59,12,0)</f>
        <v>120.85123400000001</v>
      </c>
      <c r="H39" s="130">
        <f t="shared" si="0"/>
        <v>39</v>
      </c>
      <c r="I39" s="130" t="str">
        <f>+IF(VLOOKUP(A39,'Estado SCI'!$A$16:$G$59,7,0)="","",VLOOKUP(A39,'Estado SCI'!$A$16:$G$59,7,0))</f>
        <v>Si</v>
      </c>
      <c r="J39" s="131">
        <f t="shared" si="2"/>
        <v>1</v>
      </c>
      <c r="K39" s="132">
        <f t="shared" si="1"/>
        <v>0.9</v>
      </c>
    </row>
    <row r="40" spans="1:11" x14ac:dyDescent="0.25">
      <c r="A40" s="130" t="s">
        <v>185</v>
      </c>
      <c r="B40" s="130" t="s">
        <v>97</v>
      </c>
      <c r="C40" s="130" t="s">
        <v>68</v>
      </c>
      <c r="D40" s="130" t="s">
        <v>50</v>
      </c>
      <c r="E40" s="130" t="s">
        <v>105</v>
      </c>
      <c r="F40" s="130" t="str">
        <f>+VLOOKUP(A40,'Estado SCI'!$A$16:$I$59,9,0)</f>
        <v>Deficiencia de control</v>
      </c>
      <c r="G40" s="130">
        <f>+VLOOKUP(A40,'Estado SCI'!$A$16:$L$59,12,0)</f>
        <v>80.851234500000004</v>
      </c>
      <c r="H40" s="130">
        <f t="shared" si="0"/>
        <v>35</v>
      </c>
      <c r="I40" s="130" t="str">
        <f>+IF(VLOOKUP(A40,'Estado SCI'!$A$16:$G$59,7,0)="","",VLOOKUP(A40,'Estado SCI'!$A$16:$G$59,7,0))</f>
        <v>No</v>
      </c>
      <c r="J40" s="131">
        <f t="shared" si="2"/>
        <v>0</v>
      </c>
      <c r="K40" s="132">
        <f t="shared" si="1"/>
        <v>0.9</v>
      </c>
    </row>
    <row r="41" spans="1:11" x14ac:dyDescent="0.25">
      <c r="A41" s="130" t="s">
        <v>186</v>
      </c>
      <c r="B41" s="130" t="s">
        <v>97</v>
      </c>
      <c r="C41" s="130" t="s">
        <v>68</v>
      </c>
      <c r="D41" s="130" t="s">
        <v>34</v>
      </c>
      <c r="E41" s="130" t="s">
        <v>108</v>
      </c>
      <c r="F41" s="130" t="str">
        <f>+VLOOKUP(A41,'Estado SCI'!$A$16:$I$59,9,0)</f>
        <v>Mantenimiento del control</v>
      </c>
      <c r="G41" s="130">
        <f>+VLOOKUP(A41,'Estado SCI'!$A$16:$L$59,12,0)</f>
        <v>120.85123455999999</v>
      </c>
      <c r="H41" s="130">
        <f t="shared" si="0"/>
        <v>40</v>
      </c>
      <c r="I41" s="130" t="str">
        <f>+IF(VLOOKUP(A41,'Estado SCI'!$A$16:$G$59,7,0)="","",VLOOKUP(A41,'Estado SCI'!$A$16:$G$59,7,0))</f>
        <v>Si</v>
      </c>
      <c r="J41" s="131">
        <f t="shared" si="2"/>
        <v>1</v>
      </c>
      <c r="K41" s="132">
        <f t="shared" si="1"/>
        <v>0.9</v>
      </c>
    </row>
    <row r="42" spans="1:11" x14ac:dyDescent="0.25">
      <c r="A42" s="130" t="s">
        <v>187</v>
      </c>
      <c r="B42" s="130" t="s">
        <v>97</v>
      </c>
      <c r="C42" s="130" t="s">
        <v>73</v>
      </c>
      <c r="D42" s="130" t="s">
        <v>37</v>
      </c>
      <c r="E42" s="130" t="s">
        <v>109</v>
      </c>
      <c r="F42" s="130" t="str">
        <f>+VLOOKUP(A42,'Estado SCI'!$A$16:$I$59,9,0)</f>
        <v>Mantenimiento del control</v>
      </c>
      <c r="G42" s="130">
        <f>+VLOOKUP(A42,'Estado SCI'!$A$16:$L$59,12,0)</f>
        <v>120.85123456700001</v>
      </c>
      <c r="H42" s="130">
        <f t="shared" si="0"/>
        <v>41</v>
      </c>
      <c r="I42" s="130" t="str">
        <f>+IF(VLOOKUP(A42,'Estado SCI'!$A$16:$G$59,7,0)="","",VLOOKUP(A42,'Estado SCI'!$A$16:$G$59,7,0))</f>
        <v>Si</v>
      </c>
      <c r="J42" s="131">
        <f t="shared" si="2"/>
        <v>1</v>
      </c>
      <c r="K42" s="132">
        <f t="shared" si="1"/>
        <v>0.9</v>
      </c>
    </row>
    <row r="43" spans="1:11" x14ac:dyDescent="0.25">
      <c r="A43" s="130" t="s">
        <v>188</v>
      </c>
      <c r="B43" s="130" t="s">
        <v>97</v>
      </c>
      <c r="C43" s="130" t="s">
        <v>73</v>
      </c>
      <c r="D43" s="130" t="s">
        <v>40</v>
      </c>
      <c r="E43" s="130" t="s">
        <v>110</v>
      </c>
      <c r="F43" s="130" t="str">
        <f>+VLOOKUP(A43,'Estado SCI'!$A$16:$I$59,9,0)</f>
        <v>Mantenimiento del control</v>
      </c>
      <c r="G43" s="130">
        <f>+VLOOKUP(A43,'Estado SCI'!$A$16:$L$59,12,0)</f>
        <v>120.85123456780001</v>
      </c>
      <c r="H43" s="130">
        <f t="shared" si="0"/>
        <v>42</v>
      </c>
      <c r="I43" s="130" t="str">
        <f>+IF(VLOOKUP(A43,'Estado SCI'!$A$16:$G$59,7,0)="","",VLOOKUP(A43,'Estado SCI'!$A$16:$G$59,7,0))</f>
        <v>Si</v>
      </c>
      <c r="J43" s="131">
        <f t="shared" si="2"/>
        <v>1</v>
      </c>
      <c r="K43" s="132">
        <f t="shared" si="1"/>
        <v>0.9</v>
      </c>
    </row>
    <row r="44" spans="1:11" x14ac:dyDescent="0.25">
      <c r="A44" s="130" t="s">
        <v>189</v>
      </c>
      <c r="B44" s="130" t="s">
        <v>97</v>
      </c>
      <c r="C44" s="130" t="s">
        <v>73</v>
      </c>
      <c r="D44" s="130" t="s">
        <v>42</v>
      </c>
      <c r="E44" s="130" t="s">
        <v>111</v>
      </c>
      <c r="F44" s="130" t="str">
        <f>+VLOOKUP(A44,'Estado SCI'!$A$16:$I$59,9,0)</f>
        <v>Mantenimiento del control</v>
      </c>
      <c r="G44" s="130">
        <f>+VLOOKUP(A44,'Estado SCI'!$A$16:$L$59,12,0)</f>
        <v>120.85123456789</v>
      </c>
      <c r="H44" s="130">
        <f t="shared" si="0"/>
        <v>43</v>
      </c>
      <c r="I44" s="130" t="str">
        <f>+IF(VLOOKUP(A44,'Estado SCI'!$A$16:$G$59,7,0)="","",VLOOKUP(A44,'Estado SCI'!$A$16:$G$59,7,0))</f>
        <v>Si</v>
      </c>
      <c r="J44" s="131">
        <f t="shared" si="2"/>
        <v>1</v>
      </c>
      <c r="K44" s="132">
        <f t="shared" si="1"/>
        <v>0.9</v>
      </c>
    </row>
    <row r="45" spans="1:11" x14ac:dyDescent="0.25">
      <c r="A45" s="130" t="s">
        <v>190</v>
      </c>
      <c r="B45" s="130" t="s">
        <v>97</v>
      </c>
      <c r="C45" s="130" t="s">
        <v>73</v>
      </c>
      <c r="D45" s="130" t="s">
        <v>44</v>
      </c>
      <c r="E45" s="130" t="s">
        <v>112</v>
      </c>
      <c r="F45" s="130" t="str">
        <f>+VLOOKUP(A45,'Estado SCI'!$A$16:$I$59,9,0)</f>
        <v>Mantenimiento del control</v>
      </c>
      <c r="G45" s="130">
        <f>+VLOOKUP(A45,'Estado SCI'!$A$16:$L$59,12,0)</f>
        <v>120.851234567891</v>
      </c>
      <c r="H45" s="130">
        <f t="shared" si="0"/>
        <v>44</v>
      </c>
      <c r="I45" s="130" t="str">
        <f>+IF(VLOOKUP(A45,'Estado SCI'!$A$16:$G$59,7,0)="","",VLOOKUP(A45,'Estado SCI'!$A$16:$G$59,7,0))</f>
        <v>Si</v>
      </c>
      <c r="J45" s="131">
        <f t="shared" si="2"/>
        <v>1</v>
      </c>
      <c r="K45" s="132">
        <f t="shared" si="1"/>
        <v>0.9</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F6256E48F3704BAF4E728A292163CC" ma:contentTypeVersion="2" ma:contentTypeDescription="Crear nuevo documento." ma:contentTypeScope="" ma:versionID="9c73d68193d13ef80e678b20d87bb12f">
  <xsd:schema xmlns:xsd="http://www.w3.org/2001/XMLSchema" xmlns:xs="http://www.w3.org/2001/XMLSchema" xmlns:p="http://schemas.microsoft.com/office/2006/metadata/properties" xmlns:ns2="c1ab06fb-6694-41ac-8da8-ce6474967203" targetNamespace="http://schemas.microsoft.com/office/2006/metadata/properties" ma:root="true" ma:fieldsID="299a50110a8d2490d2a2011f2df905eb" ns2:_="">
    <xsd:import namespace="c1ab06fb-6694-41ac-8da8-ce6474967203"/>
    <xsd:element name="properties">
      <xsd:complexType>
        <xsd:sequence>
          <xsd:element name="documentManagement">
            <xsd:complexType>
              <xsd:all>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b06fb-6694-41ac-8da8-ce6474967203"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element name="Descripci_x00f3_n" ma:index="9" nillable="true" ma:displayName="Descripción" ma:internalName="Descrip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c1ab06fb-6694-41ac-8da8-ce6474967203">Informe Semestral del Estado de Control Interno- con corte a 30 de junio 2022-Alcaldia de Quibdó</Descripci_x00f3_n>
    <Fecha xmlns="c1ab06fb-6694-41ac-8da8-ce6474967203">2022-07-11T05:00:00+00:00</Fecha>
  </documentManagement>
</p:properties>
</file>

<file path=customXml/itemProps1.xml><?xml version="1.0" encoding="utf-8"?>
<ds:datastoreItem xmlns:ds="http://schemas.openxmlformats.org/officeDocument/2006/customXml" ds:itemID="{26379072-D66C-468A-9A76-33B1FFE968C2}"/>
</file>

<file path=customXml/itemProps2.xml><?xml version="1.0" encoding="utf-8"?>
<ds:datastoreItem xmlns:ds="http://schemas.openxmlformats.org/officeDocument/2006/customXml" ds:itemID="{4BF89FCA-0610-4536-A2AE-F9CA51E72A08}"/>
</file>

<file path=customXml/itemProps3.xml><?xml version="1.0" encoding="utf-8"?>
<ds:datastoreItem xmlns:ds="http://schemas.openxmlformats.org/officeDocument/2006/customXml" ds:itemID="{A0990B46-B611-43BE-BB7D-1544AF0DB0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Estado SCI</vt:lpstr>
      <vt:lpstr>Análisis Resultados</vt:lpstr>
      <vt:lpstr>Conclusión</vt:lpstr>
      <vt:lpstr>Hoja1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Semestral del Estado de Control Interno- con corte a 30 de junio 2022-Alcaldia de Quibdó</dc:title>
  <dc:creator>Sala Juntas Piso 6</dc:creator>
  <cp:lastModifiedBy>Control-Interno</cp:lastModifiedBy>
  <cp:revision/>
  <dcterms:created xsi:type="dcterms:W3CDTF">2020-04-28T13:58:09Z</dcterms:created>
  <dcterms:modified xsi:type="dcterms:W3CDTF">2022-07-13T16:18:43Z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0x0101007FF6256E48F3704BAF4E728A292163CC</vt:lpwstr>
  </property>
</Properties>
</file>